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20" yWindow="-120" windowWidth="29040" windowHeight="15840" tabRatio="725"/>
  </bookViews>
  <sheets>
    <sheet name="тит" sheetId="6" r:id="rId1"/>
    <sheet name="1-14 день" sheetId="5" r:id="rId2"/>
  </sheets>
  <definedNames>
    <definedName name="_xlnm.Print_Area" localSheetId="1">'1-14 день'!$A$1:$O$203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00" i="5"/>
  <c r="N200"/>
  <c r="M200"/>
  <c r="L200"/>
  <c r="K200"/>
  <c r="I200"/>
  <c r="H200"/>
  <c r="G200"/>
  <c r="F200"/>
  <c r="D200"/>
  <c r="O198"/>
  <c r="N198"/>
  <c r="M198"/>
  <c r="L198"/>
  <c r="K198"/>
  <c r="H198"/>
  <c r="G198"/>
  <c r="F198"/>
  <c r="E198"/>
  <c r="D198"/>
  <c r="O197"/>
  <c r="N197"/>
  <c r="M197"/>
  <c r="L197"/>
  <c r="K197"/>
  <c r="I197"/>
  <c r="H197"/>
  <c r="G197"/>
  <c r="F197"/>
  <c r="E197"/>
  <c r="D197"/>
  <c r="D196"/>
  <c r="O185"/>
  <c r="N185"/>
  <c r="M185"/>
  <c r="L185"/>
  <c r="K185"/>
  <c r="I185"/>
  <c r="H185"/>
  <c r="G185"/>
  <c r="F185"/>
  <c r="D185"/>
  <c r="O183"/>
  <c r="N183"/>
  <c r="M183"/>
  <c r="L183"/>
  <c r="K183"/>
  <c r="J183"/>
  <c r="I183"/>
  <c r="H183"/>
  <c r="G183"/>
  <c r="F183"/>
  <c r="E183"/>
  <c r="D183"/>
  <c r="O182"/>
  <c r="N182"/>
  <c r="M182"/>
  <c r="L182"/>
  <c r="K182"/>
  <c r="I182"/>
  <c r="H182"/>
  <c r="G182"/>
  <c r="F182"/>
  <c r="E182"/>
  <c r="D182"/>
  <c r="F181"/>
  <c r="E181"/>
  <c r="D181"/>
  <c r="O170"/>
  <c r="N170"/>
  <c r="M170"/>
  <c r="L170"/>
  <c r="K170"/>
  <c r="I170"/>
  <c r="H170"/>
  <c r="G170"/>
  <c r="F170"/>
  <c r="D170"/>
  <c r="O169"/>
  <c r="N169"/>
  <c r="M169"/>
  <c r="L169"/>
  <c r="K169"/>
  <c r="I169"/>
  <c r="H169"/>
  <c r="G169"/>
  <c r="F169"/>
  <c r="E169"/>
  <c r="D169"/>
  <c r="O167"/>
  <c r="N167"/>
  <c r="M167"/>
  <c r="L167"/>
  <c r="K167"/>
  <c r="I167"/>
  <c r="H167"/>
  <c r="G167"/>
  <c r="F167"/>
  <c r="E167"/>
  <c r="D167"/>
  <c r="H166"/>
  <c r="G166"/>
  <c r="O155"/>
  <c r="N155"/>
  <c r="M155"/>
  <c r="L155"/>
  <c r="K155"/>
  <c r="I155"/>
  <c r="H155"/>
  <c r="G155"/>
  <c r="F155"/>
  <c r="E155"/>
  <c r="D155"/>
  <c r="O153"/>
  <c r="N153"/>
  <c r="M153"/>
  <c r="L153"/>
  <c r="K153"/>
  <c r="H153"/>
  <c r="G153"/>
  <c r="F153"/>
  <c r="E153"/>
  <c r="D153"/>
  <c r="O152"/>
  <c r="N152"/>
  <c r="M152"/>
  <c r="L152"/>
  <c r="K152"/>
  <c r="I152"/>
  <c r="H152"/>
  <c r="G152"/>
  <c r="F152"/>
  <c r="E152"/>
  <c r="D152"/>
  <c r="O142"/>
  <c r="N142"/>
  <c r="M142"/>
  <c r="L142"/>
  <c r="K142"/>
  <c r="I142"/>
  <c r="H142"/>
  <c r="G142"/>
  <c r="F142"/>
  <c r="E142"/>
  <c r="D142"/>
  <c r="O141"/>
  <c r="N141"/>
  <c r="M141"/>
  <c r="L141"/>
  <c r="K141"/>
  <c r="I141"/>
  <c r="H141"/>
  <c r="G141"/>
  <c r="F141"/>
  <c r="E141"/>
  <c r="D141"/>
  <c r="O140"/>
  <c r="N140"/>
  <c r="M140"/>
  <c r="L140"/>
  <c r="K140"/>
  <c r="J140"/>
  <c r="I140"/>
  <c r="H140"/>
  <c r="G140"/>
  <c r="F140"/>
  <c r="E140"/>
  <c r="D140"/>
  <c r="O139"/>
  <c r="N139"/>
  <c r="M139"/>
  <c r="L139"/>
  <c r="K139"/>
  <c r="I139"/>
  <c r="H139"/>
  <c r="G139"/>
  <c r="F139"/>
  <c r="E139"/>
  <c r="D139"/>
  <c r="H138"/>
  <c r="G138"/>
  <c r="O128"/>
  <c r="N128"/>
  <c r="M128"/>
  <c r="L128"/>
  <c r="K128"/>
  <c r="I128"/>
  <c r="H128"/>
  <c r="G128"/>
  <c r="F128"/>
  <c r="D128"/>
  <c r="O124"/>
  <c r="N124"/>
  <c r="M124"/>
  <c r="L124"/>
  <c r="K124"/>
  <c r="I124"/>
  <c r="H124"/>
  <c r="G124"/>
  <c r="F124"/>
  <c r="F130" s="1"/>
  <c r="E124"/>
  <c r="E130" s="1"/>
  <c r="D124"/>
  <c r="D123"/>
  <c r="O112"/>
  <c r="N112"/>
  <c r="M112"/>
  <c r="L112"/>
  <c r="K112"/>
  <c r="I112"/>
  <c r="H112"/>
  <c r="G112"/>
  <c r="F112"/>
  <c r="E112"/>
  <c r="D112"/>
  <c r="O111"/>
  <c r="N111"/>
  <c r="M111"/>
  <c r="L111"/>
  <c r="K111"/>
  <c r="J111"/>
  <c r="I111"/>
  <c r="H111"/>
  <c r="G111"/>
  <c r="F111"/>
  <c r="E111"/>
  <c r="D111"/>
  <c r="O110"/>
  <c r="N110"/>
  <c r="M110"/>
  <c r="L110"/>
  <c r="K110"/>
  <c r="H110"/>
  <c r="G110"/>
  <c r="F110"/>
  <c r="E110"/>
  <c r="D110"/>
  <c r="O109"/>
  <c r="N109"/>
  <c r="M109"/>
  <c r="L109"/>
  <c r="K109"/>
  <c r="I109"/>
  <c r="H109"/>
  <c r="G109"/>
  <c r="F109"/>
  <c r="E109"/>
  <c r="D109"/>
  <c r="F108"/>
  <c r="E108"/>
  <c r="D108"/>
  <c r="O97"/>
  <c r="N97"/>
  <c r="M97"/>
  <c r="L97"/>
  <c r="K97"/>
  <c r="I97"/>
  <c r="H97"/>
  <c r="G97"/>
  <c r="F97"/>
  <c r="D97"/>
  <c r="O95"/>
  <c r="N95"/>
  <c r="M95"/>
  <c r="L95"/>
  <c r="K95"/>
  <c r="H95"/>
  <c r="G95"/>
  <c r="F95"/>
  <c r="E95"/>
  <c r="D95"/>
  <c r="O94"/>
  <c r="N94"/>
  <c r="M94"/>
  <c r="L94"/>
  <c r="K94"/>
  <c r="I94"/>
  <c r="H94"/>
  <c r="G94"/>
  <c r="G100" s="1"/>
  <c r="F94"/>
  <c r="E94"/>
  <c r="D94"/>
  <c r="O82"/>
  <c r="N82"/>
  <c r="M82"/>
  <c r="L82"/>
  <c r="K82"/>
  <c r="J82"/>
  <c r="I82"/>
  <c r="H82"/>
  <c r="G82"/>
  <c r="F82"/>
  <c r="E82"/>
  <c r="D82"/>
  <c r="O81"/>
  <c r="N81"/>
  <c r="M81"/>
  <c r="L81"/>
  <c r="K81"/>
  <c r="H81"/>
  <c r="G81"/>
  <c r="F81"/>
  <c r="E81"/>
  <c r="D81"/>
  <c r="O80"/>
  <c r="N80"/>
  <c r="M80"/>
  <c r="L80"/>
  <c r="K80"/>
  <c r="J80"/>
  <c r="I80"/>
  <c r="H80"/>
  <c r="G80"/>
  <c r="F80"/>
  <c r="E80"/>
  <c r="D80"/>
  <c r="O79"/>
  <c r="N79"/>
  <c r="M79"/>
  <c r="L79"/>
  <c r="K79"/>
  <c r="I79"/>
  <c r="H79"/>
  <c r="G79"/>
  <c r="F79"/>
  <c r="E79"/>
  <c r="D79"/>
  <c r="H78"/>
  <c r="G78"/>
  <c r="O67"/>
  <c r="N67"/>
  <c r="M67"/>
  <c r="L67"/>
  <c r="K67"/>
  <c r="J67"/>
  <c r="I67"/>
  <c r="H67"/>
  <c r="G67"/>
  <c r="F67"/>
  <c r="E67"/>
  <c r="D67"/>
  <c r="O66"/>
  <c r="N66"/>
  <c r="M66"/>
  <c r="L66"/>
  <c r="K66"/>
  <c r="I66"/>
  <c r="H66"/>
  <c r="G66"/>
  <c r="F66"/>
  <c r="E66"/>
  <c r="D66"/>
  <c r="O65"/>
  <c r="N65"/>
  <c r="M65"/>
  <c r="L65"/>
  <c r="K65"/>
  <c r="J65"/>
  <c r="I65"/>
  <c r="H65"/>
  <c r="G65"/>
  <c r="G70" s="1"/>
  <c r="F65"/>
  <c r="E65"/>
  <c r="D65"/>
  <c r="L64"/>
  <c r="E64"/>
  <c r="D64"/>
  <c r="F63"/>
  <c r="E63"/>
  <c r="D63"/>
  <c r="O52"/>
  <c r="N52"/>
  <c r="M52"/>
  <c r="L52"/>
  <c r="K52"/>
  <c r="I52"/>
  <c r="H52"/>
  <c r="G52"/>
  <c r="F52"/>
  <c r="D52"/>
  <c r="O50"/>
  <c r="N50"/>
  <c r="M50"/>
  <c r="L50"/>
  <c r="K50"/>
  <c r="H50"/>
  <c r="G50"/>
  <c r="F50"/>
  <c r="E50"/>
  <c r="D50"/>
  <c r="O49"/>
  <c r="N49"/>
  <c r="M49"/>
  <c r="L49"/>
  <c r="K49"/>
  <c r="I49"/>
  <c r="H49"/>
  <c r="G49"/>
  <c r="F49"/>
  <c r="F55" s="1"/>
  <c r="E49"/>
  <c r="D49"/>
  <c r="D48"/>
  <c r="O37"/>
  <c r="N37"/>
  <c r="M37"/>
  <c r="L37"/>
  <c r="K37"/>
  <c r="I37"/>
  <c r="H37"/>
  <c r="G37"/>
  <c r="F37"/>
  <c r="D37"/>
  <c r="O35"/>
  <c r="N35"/>
  <c r="M35"/>
  <c r="L35"/>
  <c r="K35"/>
  <c r="J35"/>
  <c r="I35"/>
  <c r="H35"/>
  <c r="G35"/>
  <c r="F35"/>
  <c r="E35"/>
  <c r="D35"/>
  <c r="O34"/>
  <c r="N34"/>
  <c r="M34"/>
  <c r="L34"/>
  <c r="K34"/>
  <c r="I34"/>
  <c r="H34"/>
  <c r="G34"/>
  <c r="F34"/>
  <c r="E34"/>
  <c r="D34"/>
  <c r="F33"/>
  <c r="E33"/>
  <c r="D33"/>
  <c r="O24"/>
  <c r="N24"/>
  <c r="M24"/>
  <c r="L24"/>
  <c r="K24"/>
  <c r="I24"/>
  <c r="H24"/>
  <c r="G24"/>
  <c r="F24"/>
  <c r="D24"/>
  <c r="O23"/>
  <c r="N23"/>
  <c r="M23"/>
  <c r="L23"/>
  <c r="K23"/>
  <c r="I23"/>
  <c r="H23"/>
  <c r="G23"/>
  <c r="F23"/>
  <c r="E23"/>
  <c r="D23"/>
  <c r="O21"/>
  <c r="N21"/>
  <c r="M21"/>
  <c r="L21"/>
  <c r="K21"/>
  <c r="I21"/>
  <c r="H21"/>
  <c r="G21"/>
  <c r="F21"/>
  <c r="E21"/>
  <c r="E27" s="1"/>
  <c r="D21"/>
  <c r="H20"/>
  <c r="G20"/>
  <c r="G130" l="1"/>
  <c r="F203"/>
  <c r="E55"/>
  <c r="F115"/>
  <c r="G115"/>
  <c r="E100"/>
  <c r="G27"/>
  <c r="D40"/>
  <c r="F40"/>
  <c r="G40"/>
  <c r="G85"/>
  <c r="D85"/>
  <c r="F85"/>
  <c r="D100"/>
  <c r="F100"/>
  <c r="E115"/>
  <c r="E158"/>
  <c r="G158"/>
  <c r="E173"/>
  <c r="D188"/>
  <c r="F188"/>
  <c r="D27"/>
  <c r="F27"/>
  <c r="E40"/>
  <c r="D55"/>
  <c r="E85"/>
  <c r="D115"/>
  <c r="D130"/>
  <c r="G145"/>
  <c r="D145"/>
  <c r="F145"/>
  <c r="E145"/>
  <c r="D158"/>
  <c r="F158"/>
  <c r="G173"/>
  <c r="D173"/>
  <c r="F173"/>
  <c r="E188"/>
  <c r="G188"/>
  <c r="D203"/>
  <c r="E203"/>
  <c r="G203"/>
  <c r="G55"/>
  <c r="E70"/>
  <c r="D70"/>
  <c r="F70"/>
  <c r="O9" l="1"/>
  <c r="N9"/>
  <c r="M9"/>
  <c r="L9"/>
  <c r="K9"/>
  <c r="I9"/>
  <c r="H9"/>
  <c r="G9"/>
  <c r="F9"/>
  <c r="E9"/>
  <c r="D9"/>
  <c r="O12" l="1"/>
  <c r="N12"/>
  <c r="M12"/>
  <c r="L12"/>
  <c r="K12"/>
  <c r="I12"/>
  <c r="H12"/>
  <c r="G12"/>
  <c r="F12"/>
  <c r="E12"/>
  <c r="D12"/>
  <c r="O10"/>
  <c r="N10"/>
  <c r="M10"/>
  <c r="L10"/>
  <c r="K10"/>
  <c r="H10"/>
  <c r="G10"/>
  <c r="F10"/>
  <c r="E10"/>
  <c r="D10"/>
  <c r="G15" l="1"/>
  <c r="D15"/>
  <c r="E15"/>
  <c r="F15"/>
</calcChain>
</file>

<file path=xl/sharedStrings.xml><?xml version="1.0" encoding="utf-8"?>
<sst xmlns="http://schemas.openxmlformats.org/spreadsheetml/2006/main" count="479" uniqueCount="85">
  <si>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</si>
  <si>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</si>
  <si>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</si>
  <si>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</si>
  <si>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</si>
  <si>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</si>
  <si>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</si>
  <si>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</si>
  <si>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</si>
  <si>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</si>
  <si>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</si>
  <si>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</si>
  <si>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</si>
  <si>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</si>
  <si>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</si>
  <si>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Рис отварной</t>
  </si>
  <si>
    <t>Тефтели мясные паровые</t>
  </si>
  <si>
    <t>Каша гречневая рассыпчатая</t>
  </si>
  <si>
    <t>Приём пищи, наименование блюда</t>
  </si>
  <si>
    <t>Обед</t>
  </si>
  <si>
    <t>Масса порции</t>
  </si>
  <si>
    <t>№ рец.</t>
  </si>
  <si>
    <t>Минеральные вещества (мг.)</t>
  </si>
  <si>
    <t>Витамины (мг.)</t>
  </si>
  <si>
    <t>Пищевые вещества (г.)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</si>
  <si>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</si>
  <si>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</si>
  <si>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</si>
  <si>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</si>
  <si>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</si>
  <si>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</si>
  <si>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 xml:space="preserve">Возрастная категория: </t>
  </si>
  <si>
    <t>7-11 лет</t>
  </si>
  <si>
    <t>вторник</t>
  </si>
  <si>
    <t>среда</t>
  </si>
  <si>
    <t>четверг</t>
  </si>
  <si>
    <t>Напиток из плодов шиповника</t>
  </si>
  <si>
    <t>пятница</t>
  </si>
  <si>
    <t>Компот из кураги</t>
  </si>
  <si>
    <t>В1</t>
  </si>
  <si>
    <t>Салат из белокачанной капусты с морковью</t>
  </si>
  <si>
    <t>Рыба тушеная в томате с овощами (минтай)</t>
  </si>
  <si>
    <t>Салат из свеклы отварной с яблоками</t>
  </si>
  <si>
    <t>вторая</t>
  </si>
  <si>
    <t>Хлеб пшеничный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</si>
  <si>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</si>
  <si>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</si>
  <si>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</si>
  <si>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</si>
  <si>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</si>
  <si>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</si>
  <si>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</si>
  <si>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</si>
  <si>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</si>
  <si>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</si>
  <si>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Сок  фруктовый (яблочный)</t>
  </si>
  <si>
    <t>Капуста тушеная</t>
  </si>
  <si>
    <t>Чай -заварка</t>
  </si>
  <si>
    <t>Компот из свежих яблок</t>
  </si>
  <si>
    <t>Сок  фруктовый (абрикосовый)</t>
  </si>
  <si>
    <t>Сок  фруктовый (грушевый)</t>
  </si>
  <si>
    <t>летний</t>
  </si>
  <si>
    <t>Борщ с капустой и картофелем на бульоне</t>
  </si>
  <si>
    <t>Суп с макаронными изделиями и картофелем на бульоне</t>
  </si>
  <si>
    <t>Суп крестьянский с крупой (перловой) на  бульоне</t>
  </si>
  <si>
    <t>Зелёный горошек отварной консервированный</t>
  </si>
  <si>
    <t>Гуляш из отварного мяса в  соусе</t>
  </si>
  <si>
    <t>третья</t>
  </si>
  <si>
    <t xml:space="preserve">МЕНЮ </t>
  </si>
  <si>
    <t>для организации питания в муниципальных образовательных учреждениях</t>
  </si>
  <si>
    <t>дополнительного образования детских оздоровительно-образовательных лагерях</t>
  </si>
  <si>
    <t>в соответствии требованиям СанПиН 2.4.5.2409-08 «Санитарно-эпидемиологические</t>
  </si>
  <si>
    <t>требования к организации питания обучающихся в общеобразовательных учреждениях, учреждениях</t>
  </si>
  <si>
    <t>начального и среднего профессионального образования» и МР 2.4.5.0107-15 «Организация питания</t>
  </si>
  <si>
    <t>детей дошкольного и школьного возраста в организованных коллективах».</t>
  </si>
  <si>
    <t>Сборник технических нормативов-Сборник рецептур но продукцию для обучающихся во всех образовательных</t>
  </si>
  <si>
    <t>учреждениях/Под ред, М.П.Могильного и В.А.Тутельяна,-М,:Де/1и плюс, 2015,-544с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</si>
  <si>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</si>
  <si>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</si>
  <si>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</si>
  <si>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сервиса и туризма».</t>
  </si>
  <si>
    <r>
      <rPr>
        <b/>
        <sz val="14"/>
        <color theme="1"/>
        <rFont val="Times New Roman"/>
        <family val="1"/>
        <charset val="204"/>
      </rPr>
      <t xml:space="preserve">Утверждаю </t>
    </r>
    <r>
      <rPr>
        <sz val="14"/>
        <color theme="1"/>
        <rFont val="Times New Roman"/>
        <family val="1"/>
        <charset val="204"/>
      </rPr>
      <t xml:space="preserve">                                      ИП Никитина ЮБ
ИП Никитина ЮБ _____________
«_____» ___________  2026г.
</t>
    </r>
  </si>
  <si>
    <r>
      <rPr>
        <b/>
        <sz val="14"/>
        <color theme="1"/>
        <rFont val="Times New Roman"/>
        <family val="1"/>
        <charset val="204"/>
      </rPr>
      <t xml:space="preserve">Согласованно </t>
    </r>
    <r>
      <rPr>
        <sz val="14"/>
        <color theme="1"/>
        <rFont val="Times New Roman"/>
        <family val="1"/>
        <charset val="204"/>
      </rPr>
      <t xml:space="preserve">
Директор ____________ 
«_____» _______________ 2026г.
</t>
    </r>
  </si>
  <si>
    <t>(одноразового питания на 14 дней)</t>
  </si>
  <si>
    <t>на летний лагерь 2026г.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</si>
</sst>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rgb="FF454545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ont="1"/>
    <xf numFmtId="43" fontId="3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43" fontId="3" fillId="0" borderId="1" xfId="1" applyFont="1" applyFill="1" applyBorder="1" applyAlignment="1" applyProtection="1">
      <alignment vertical="center" wrapText="1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3" fillId="0" borderId="0" xfId="1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Alignment="1" applyProtection="1">
      <alignment wrapText="1"/>
      <protection hidden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  <protection hidden="1"/>
    </xf>
    <xf numFmtId="43" fontId="2" fillId="5" borderId="1" xfId="0" applyNumberFormat="1" applyFont="1" applyFill="1" applyBorder="1" applyAlignment="1" applyProtection="1">
      <alignment vertical="top" wrapText="1"/>
      <protection hidden="1"/>
    </xf>
    <xf numFmtId="0" fontId="2" fillId="5" borderId="1" xfId="0" applyFont="1" applyFill="1" applyBorder="1" applyAlignment="1" applyProtection="1">
      <alignment horizontal="justify" vertical="center" wrapText="1"/>
      <protection hidden="1"/>
    </xf>
    <xf numFmtId="43" fontId="3" fillId="3" borderId="1" xfId="1" applyFont="1" applyFill="1" applyBorder="1" applyAlignment="1" applyProtection="1">
      <alignment vertical="center" wrapText="1"/>
      <protection hidden="1"/>
    </xf>
    <xf numFmtId="0" fontId="2" fillId="3" borderId="0" xfId="0" applyFont="1" applyFill="1"/>
    <xf numFmtId="0" fontId="0" fillId="0" borderId="0" xfId="0" applyFont="1" applyAlignment="1">
      <alignment wrapText="1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0" fillId="0" borderId="0" xfId="0" applyFont="1" applyFill="1"/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Alignment="1">
      <alignment horizontal="justify" vertical="center"/>
    </xf>
    <xf numFmtId="0" fontId="0" fillId="0" borderId="0" xfId="0" applyNumberFormat="1" applyFont="1"/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ont="1" applyFill="1" applyBorder="1"/>
    <xf numFmtId="0" fontId="0" fillId="0" borderId="0" xfId="0" applyFont="1" applyBorder="1"/>
    <xf numFmtId="43" fontId="3" fillId="0" borderId="2" xfId="1" applyFont="1" applyFill="1" applyBorder="1" applyAlignment="1" applyProtection="1">
      <alignment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NumberFormat="1" applyFont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vertical="top" wrapText="1"/>
      <protection hidden="1"/>
    </xf>
    <xf numFmtId="0" fontId="0" fillId="5" borderId="3" xfId="0" applyFont="1" applyFill="1" applyBorder="1" applyAlignment="1" applyProtection="1">
      <protection hidden="1"/>
    </xf>
    <xf numFmtId="0" fontId="0" fillId="5" borderId="3" xfId="0" applyNumberFormat="1" applyFont="1" applyFill="1" applyBorder="1" applyAlignment="1" applyProtection="1">
      <protection hidden="1"/>
    </xf>
    <xf numFmtId="43" fontId="3" fillId="5" borderId="3" xfId="0" applyNumberFormat="1" applyFont="1" applyFill="1" applyBorder="1" applyAlignment="1" applyProtection="1">
      <protection hidden="1"/>
    </xf>
    <xf numFmtId="43" fontId="0" fillId="5" borderId="3" xfId="0" applyNumberFormat="1" applyFont="1" applyFill="1" applyBorder="1" applyAlignment="1" applyProtection="1">
      <protection hidden="1"/>
    </xf>
    <xf numFmtId="0" fontId="9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43" fontId="2" fillId="5" borderId="1" xfId="0" applyNumberFormat="1" applyFont="1" applyFill="1" applyBorder="1" applyAlignment="1" applyProtection="1">
      <alignment horizontal="justify" vertical="center" wrapText="1"/>
      <protection hidden="1"/>
    </xf>
    <xf numFmtId="0" fontId="0" fillId="5" borderId="0" xfId="0" applyFont="1" applyFill="1"/>
    <xf numFmtId="0" fontId="4" fillId="0" borderId="3" xfId="0" applyFont="1" applyFill="1" applyBorder="1" applyAlignment="1" applyProtection="1">
      <alignment vertical="top" wrapText="1"/>
      <protection hidden="1"/>
    </xf>
    <xf numFmtId="0" fontId="4" fillId="0" borderId="2" xfId="0" applyFont="1" applyFill="1" applyBorder="1" applyAlignment="1" applyProtection="1">
      <alignment vertical="top" wrapText="1"/>
      <protection hidden="1"/>
    </xf>
    <xf numFmtId="0" fontId="4" fillId="0" borderId="4" xfId="0" applyFont="1" applyFill="1" applyBorder="1" applyAlignment="1" applyProtection="1">
      <alignment vertical="top" wrapText="1"/>
      <protection hidden="1"/>
    </xf>
    <xf numFmtId="43" fontId="2" fillId="4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top" wrapText="1"/>
      <protection hidden="1"/>
    </xf>
    <xf numFmtId="0" fontId="4" fillId="0" borderId="0" xfId="0" applyFont="1" applyAlignment="1">
      <alignment wrapText="1"/>
    </xf>
    <xf numFmtId="0" fontId="4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7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3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vertical="center" wrapText="1"/>
      <protection hidden="1"/>
    </xf>
    <xf numFmtId="0" fontId="10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Fill="1" applyBorder="1" applyAlignment="1" applyProtection="1">
      <alignment horizontal="center" vertical="top" wrapText="1"/>
      <protection hidden="1"/>
    </xf>
    <xf numFmtId="0" fontId="4" fillId="0" borderId="3" xfId="0" applyFont="1" applyFill="1" applyBorder="1" applyAlignment="1" applyProtection="1">
      <alignment horizontal="center" vertical="top" wrapText="1"/>
      <protection hidden="1"/>
    </xf>
    <xf numFmtId="0" fontId="4" fillId="0" borderId="4" xfId="0" applyFont="1" applyFill="1" applyBorder="1" applyAlignment="1" applyProtection="1">
      <alignment horizontal="center" vertical="top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view="pageBreakPreview" zoomScale="60" workbookViewId="0">
      <selection activeCell="A12" sqref="A12:O12"/>
    </sheetView>
  </sheetViews>
  <sheetFormatPr defaultColWidth="8.85546875" defaultRowHeight="15"/>
  <cols>
    <col min="1" max="1" width="10.140625" customWidth="1"/>
    <col min="2" max="2" width="8.28515625" customWidth="1"/>
    <col min="3" max="3" width="40.85546875" customWidth="1"/>
    <col min="4" max="4" width="13.42578125" customWidth="1"/>
    <col min="5" max="5" width="14.85546875" customWidth="1"/>
    <col min="6" max="6" width="45.7109375" customWidth="1"/>
    <col min="7" max="7" width="14.5703125" customWidth="1"/>
    <col min="8" max="8" width="16.5703125" customWidth="1"/>
    <col min="9" max="9" width="38" customWidth="1"/>
    <col min="11" max="11" width="2.28515625" customWidth="1"/>
    <col min="12" max="12" width="2.7109375" customWidth="1"/>
    <col min="13" max="13" width="3" customWidth="1"/>
    <col min="14" max="14" width="8.85546875" hidden="1" customWidth="1"/>
    <col min="15" max="15" width="0.85546875" customWidth="1"/>
  </cols>
  <sheetData>
    <row r="1" spans="1:15" ht="112.5">
      <c r="A1" s="57"/>
      <c r="B1" s="58"/>
      <c r="C1" s="59" t="s">
        <v>81</v>
      </c>
      <c r="D1" s="60"/>
      <c r="E1" s="59"/>
      <c r="F1" s="59" t="s">
        <v>82</v>
      </c>
      <c r="G1" s="59"/>
      <c r="H1" s="61"/>
      <c r="I1" s="59"/>
    </row>
    <row r="2" spans="1:15" ht="32.25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32.25">
      <c r="A3" s="69" t="s">
        <v>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21">
      <c r="E4" s="62"/>
      <c r="F4" s="62"/>
    </row>
    <row r="6" spans="1:15" ht="21">
      <c r="A6" s="67" t="s">
        <v>69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21">
      <c r="A7" s="67" t="s">
        <v>70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ht="21">
      <c r="A8" s="67" t="s">
        <v>84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ht="21">
      <c r="A9" s="67" t="s">
        <v>71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ht="21">
      <c r="A10" s="67" t="s">
        <v>72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ht="21">
      <c r="A11" s="67" t="s">
        <v>73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ht="21">
      <c r="A12" s="67" t="s">
        <v>74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ht="21">
      <c r="A13" s="63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ht="21">
      <c r="A14" s="71" t="s">
        <v>75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pans="1:15" ht="21">
      <c r="A15" s="71" t="s">
        <v>76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15" ht="21">
      <c r="A16" s="71" t="s">
        <v>77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21">
      <c r="A17" s="71" t="s">
        <v>78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spans="1:15" ht="21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21">
      <c r="A19" s="71" t="s">
        <v>79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5" ht="21">
      <c r="A20" s="71" t="s">
        <v>80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5" ht="18.75">
      <c r="A21" s="66"/>
    </row>
  </sheetData>
  <mergeCells count="15">
    <mergeCell ref="A17:O17"/>
    <mergeCell ref="A19:O19"/>
    <mergeCell ref="A20:O20"/>
    <mergeCell ref="A10:O10"/>
    <mergeCell ref="A11:O11"/>
    <mergeCell ref="A12:O12"/>
    <mergeCell ref="A14:O14"/>
    <mergeCell ref="A15:O15"/>
    <mergeCell ref="A16:O16"/>
    <mergeCell ref="A9:O9"/>
    <mergeCell ref="A2:O2"/>
    <mergeCell ref="A3:O3"/>
    <mergeCell ref="A6:O6"/>
    <mergeCell ref="A7:O7"/>
    <mergeCell ref="A8:O8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A205"/>
  <sheetViews>
    <sheetView view="pageBreakPreview" zoomScale="80" zoomScaleSheetLayoutView="80" workbookViewId="0">
      <selection activeCell="F191" sqref="F191"/>
    </sheetView>
  </sheetViews>
  <sheetFormatPr defaultColWidth="9.140625" defaultRowHeight="12.75"/>
  <cols>
    <col min="1" max="1" width="14.7109375" style="7" customWidth="1"/>
    <col min="2" max="2" width="32" style="7" bestFit="1" customWidth="1"/>
    <col min="3" max="3" width="9.28515625" style="7" bestFit="1" customWidth="1"/>
    <col min="4" max="4" width="11.28515625" style="7" bestFit="1" customWidth="1"/>
    <col min="5" max="6" width="9.28515625" style="7" bestFit="1" customWidth="1"/>
    <col min="7" max="7" width="12.7109375" style="7" customWidth="1"/>
    <col min="8" max="8" width="10.85546875" style="7" customWidth="1"/>
    <col min="9" max="9" width="10.7109375" style="7" customWidth="1"/>
    <col min="10" max="10" width="9.28515625" style="7" bestFit="1" customWidth="1"/>
    <col min="11" max="11" width="11.28515625" style="7" customWidth="1"/>
    <col min="12" max="12" width="12.28515625" style="7" customWidth="1"/>
    <col min="13" max="13" width="10.42578125" style="7" bestFit="1" customWidth="1"/>
    <col min="14" max="15" width="9.28515625" style="7" bestFit="1" customWidth="1"/>
    <col min="16" max="16384" width="9.140625" style="7"/>
  </cols>
  <sheetData>
    <row r="1" spans="1:15">
      <c r="A1" s="25" t="s">
        <v>26</v>
      </c>
      <c r="B1" s="6" t="s">
        <v>27</v>
      </c>
    </row>
    <row r="2" spans="1:15">
      <c r="A2" s="25" t="s">
        <v>28</v>
      </c>
      <c r="B2" s="6" t="s">
        <v>29</v>
      </c>
    </row>
    <row r="3" spans="1:15">
      <c r="A3" s="25" t="s">
        <v>30</v>
      </c>
      <c r="B3" s="6" t="s">
        <v>61</v>
      </c>
    </row>
    <row r="4" spans="1:15" ht="25.5">
      <c r="A4" s="25" t="s">
        <v>31</v>
      </c>
      <c r="B4" s="6" t="s">
        <v>32</v>
      </c>
    </row>
    <row r="5" spans="1:15" ht="15.75" customHeight="1">
      <c r="A5" s="78" t="s">
        <v>21</v>
      </c>
      <c r="B5" s="78" t="s">
        <v>18</v>
      </c>
      <c r="C5" s="78" t="s">
        <v>20</v>
      </c>
      <c r="D5" s="75" t="s">
        <v>24</v>
      </c>
      <c r="E5" s="76"/>
      <c r="F5" s="77"/>
      <c r="G5" s="78" t="s">
        <v>0</v>
      </c>
      <c r="H5" s="75" t="s">
        <v>23</v>
      </c>
      <c r="I5" s="76"/>
      <c r="J5" s="76"/>
      <c r="K5" s="77"/>
      <c r="L5" s="75" t="s">
        <v>22</v>
      </c>
      <c r="M5" s="76"/>
      <c r="N5" s="76"/>
      <c r="O5" s="77"/>
    </row>
    <row r="6" spans="1:15" ht="24" customHeight="1">
      <c r="A6" s="79"/>
      <c r="B6" s="81"/>
      <c r="C6" s="80"/>
      <c r="D6" s="26" t="s">
        <v>1</v>
      </c>
      <c r="E6" s="26" t="s">
        <v>2</v>
      </c>
      <c r="F6" s="26" t="s">
        <v>3</v>
      </c>
      <c r="G6" s="79"/>
      <c r="H6" s="26" t="s">
        <v>39</v>
      </c>
      <c r="I6" s="26" t="s">
        <v>4</v>
      </c>
      <c r="J6" s="26" t="s">
        <v>5</v>
      </c>
      <c r="K6" s="26" t="s">
        <v>6</v>
      </c>
      <c r="L6" s="26" t="s">
        <v>7</v>
      </c>
      <c r="M6" s="26" t="s">
        <v>8</v>
      </c>
      <c r="N6" s="26" t="s">
        <v>9</v>
      </c>
      <c r="O6" s="26" t="s">
        <v>10</v>
      </c>
    </row>
    <row r="7" spans="1:15" s="8" customFormat="1" ht="15" customHeight="1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</row>
    <row r="8" spans="1:15" s="23" customFormat="1" ht="25.5">
      <c r="A8" s="30">
        <v>131</v>
      </c>
      <c r="B8" s="11" t="s">
        <v>65</v>
      </c>
      <c r="C8" s="30">
        <v>25</v>
      </c>
      <c r="D8" s="22">
        <v>0.81</v>
      </c>
      <c r="E8" s="22">
        <v>0.93</v>
      </c>
      <c r="F8" s="22">
        <v>1.5</v>
      </c>
      <c r="G8" s="22">
        <v>17.75</v>
      </c>
      <c r="H8" s="22">
        <v>0.02</v>
      </c>
      <c r="I8" s="22">
        <v>2.73</v>
      </c>
      <c r="J8" s="22">
        <v>4.76</v>
      </c>
      <c r="K8" s="22">
        <v>0.06</v>
      </c>
      <c r="L8" s="22">
        <v>6.67</v>
      </c>
      <c r="M8" s="22">
        <v>16.46</v>
      </c>
      <c r="N8" s="22">
        <v>5.66</v>
      </c>
      <c r="O8" s="22">
        <v>0.2</v>
      </c>
    </row>
    <row r="9" spans="1:15" s="29" customFormat="1" ht="38.25">
      <c r="A9" s="27">
        <v>96</v>
      </c>
      <c r="B9" s="28" t="s">
        <v>50</v>
      </c>
      <c r="C9" s="27">
        <v>250</v>
      </c>
      <c r="D9" s="4">
        <f>8.07/4+0.8</f>
        <v>2.8174999999999999</v>
      </c>
      <c r="E9" s="4">
        <f>(20.36/4)+0.2</f>
        <v>5.29</v>
      </c>
      <c r="F9" s="4">
        <f>47.92/4</f>
        <v>11.98</v>
      </c>
      <c r="G9" s="4">
        <f>429/4+5+30</f>
        <v>142.25</v>
      </c>
      <c r="H9" s="4">
        <f>0.37/4</f>
        <v>9.2499999999999999E-2</v>
      </c>
      <c r="I9" s="4">
        <f>33.5/4</f>
        <v>8.375</v>
      </c>
      <c r="J9" s="4"/>
      <c r="K9" s="4">
        <f>9.4/4</f>
        <v>2.35</v>
      </c>
      <c r="L9" s="4">
        <f>116.6/4+2</f>
        <v>31.15</v>
      </c>
      <c r="M9" s="4">
        <f>226.9/4</f>
        <v>56.725000000000001</v>
      </c>
      <c r="N9" s="4">
        <f>96.7/4</f>
        <v>24.175000000000001</v>
      </c>
      <c r="O9" s="4">
        <f>3.7/4</f>
        <v>0.92500000000000004</v>
      </c>
    </row>
    <row r="10" spans="1:15" s="8" customFormat="1">
      <c r="A10" s="27">
        <v>309</v>
      </c>
      <c r="B10" s="28" t="s">
        <v>12</v>
      </c>
      <c r="C10" s="27">
        <v>150</v>
      </c>
      <c r="D10" s="4">
        <f>36.78/100*15</f>
        <v>5.5170000000000003</v>
      </c>
      <c r="E10" s="4">
        <f>30.1/100*15</f>
        <v>4.5149999999999997</v>
      </c>
      <c r="F10" s="4">
        <f>176.3/100*15</f>
        <v>26.445</v>
      </c>
      <c r="G10" s="4">
        <f>1123/100*15</f>
        <v>168.45000000000002</v>
      </c>
      <c r="H10" s="4">
        <f>0.37/100*15</f>
        <v>5.5500000000000001E-2</v>
      </c>
      <c r="I10" s="4"/>
      <c r="J10" s="4"/>
      <c r="K10" s="4">
        <f>6.46/100*15</f>
        <v>0.96900000000000008</v>
      </c>
      <c r="L10" s="4">
        <f>32.4/100*15</f>
        <v>4.8600000000000003</v>
      </c>
      <c r="M10" s="4">
        <f>247.8/100*15</f>
        <v>37.17</v>
      </c>
      <c r="N10" s="4">
        <f>140.8/100*15</f>
        <v>21.12</v>
      </c>
      <c r="O10" s="4">
        <f>7.37/100*15</f>
        <v>1.1054999999999999</v>
      </c>
    </row>
    <row r="11" spans="1:15" s="29" customFormat="1" ht="15">
      <c r="A11" s="27">
        <v>246</v>
      </c>
      <c r="B11" s="28" t="s">
        <v>66</v>
      </c>
      <c r="C11" s="27">
        <v>100</v>
      </c>
      <c r="D11" s="4">
        <v>13.36</v>
      </c>
      <c r="E11" s="4">
        <v>14.08</v>
      </c>
      <c r="F11" s="4">
        <v>0.85</v>
      </c>
      <c r="G11" s="4">
        <v>164</v>
      </c>
      <c r="H11" s="4">
        <v>0.01</v>
      </c>
      <c r="I11" s="4">
        <v>1.2</v>
      </c>
      <c r="J11" s="4"/>
      <c r="K11" s="4"/>
      <c r="L11" s="4">
        <v>23.6</v>
      </c>
      <c r="M11" s="4">
        <v>117.03</v>
      </c>
      <c r="N11" s="4">
        <v>20.27</v>
      </c>
      <c r="O11" s="4">
        <v>2</v>
      </c>
    </row>
    <row r="12" spans="1:15" s="8" customFormat="1">
      <c r="A12" s="27">
        <v>348</v>
      </c>
      <c r="B12" s="28" t="s">
        <v>38</v>
      </c>
      <c r="C12" s="27">
        <v>200</v>
      </c>
      <c r="D12" s="4">
        <f>3.9/5</f>
        <v>0.78</v>
      </c>
      <c r="E12" s="4">
        <f>0.23/5</f>
        <v>4.5999999999999999E-2</v>
      </c>
      <c r="F12" s="4">
        <f>138.15/5</f>
        <v>27.630000000000003</v>
      </c>
      <c r="G12" s="4">
        <f>574/5</f>
        <v>114.8</v>
      </c>
      <c r="H12" s="4">
        <f>0.08/5</f>
        <v>1.6E-2</v>
      </c>
      <c r="I12" s="4">
        <f>3/5</f>
        <v>0.6</v>
      </c>
      <c r="J12" s="4"/>
      <c r="K12" s="4">
        <f>4.12/5</f>
        <v>0.82400000000000007</v>
      </c>
      <c r="L12" s="4">
        <f>161.6/5</f>
        <v>32.32</v>
      </c>
      <c r="M12" s="4">
        <f>109.5/5</f>
        <v>21.9</v>
      </c>
      <c r="N12" s="4">
        <f>87.8/5</f>
        <v>17.559999999999999</v>
      </c>
      <c r="O12" s="4">
        <f>2.4/5</f>
        <v>0.48</v>
      </c>
    </row>
    <row r="13" spans="1:15" s="8" customFormat="1">
      <c r="A13" s="13"/>
      <c r="B13" s="28" t="s">
        <v>14</v>
      </c>
      <c r="C13" s="27">
        <v>40</v>
      </c>
      <c r="D13" s="4">
        <v>2.2400000000000002</v>
      </c>
      <c r="E13" s="4">
        <v>0.88</v>
      </c>
      <c r="F13" s="4">
        <v>19.760000000000002</v>
      </c>
      <c r="G13" s="4">
        <v>91.96</v>
      </c>
      <c r="H13" s="4">
        <v>0.04</v>
      </c>
      <c r="I13" s="4"/>
      <c r="J13" s="4"/>
      <c r="K13" s="4">
        <v>0.36</v>
      </c>
      <c r="L13" s="4">
        <v>9.1999999999999993</v>
      </c>
      <c r="M13" s="4">
        <v>42.4</v>
      </c>
      <c r="N13" s="4">
        <v>10</v>
      </c>
      <c r="O13" s="4">
        <v>1.24</v>
      </c>
    </row>
    <row r="14" spans="1:15" s="29" customFormat="1" ht="15">
      <c r="A14" s="13"/>
      <c r="B14" s="28" t="s">
        <v>44</v>
      </c>
      <c r="C14" s="27">
        <v>40</v>
      </c>
      <c r="D14" s="4">
        <v>3.16</v>
      </c>
      <c r="E14" s="4">
        <v>0.4</v>
      </c>
      <c r="F14" s="4">
        <v>19.32</v>
      </c>
      <c r="G14" s="4">
        <v>93.52</v>
      </c>
      <c r="H14" s="4">
        <v>0.04</v>
      </c>
      <c r="I14" s="4"/>
      <c r="J14" s="4"/>
      <c r="K14" s="4">
        <v>0.52</v>
      </c>
      <c r="L14" s="4">
        <v>9.1999999999999993</v>
      </c>
      <c r="M14" s="4">
        <v>34.799999999999997</v>
      </c>
      <c r="N14" s="4">
        <v>13.2</v>
      </c>
      <c r="O14" s="4">
        <v>0.44</v>
      </c>
    </row>
    <row r="15" spans="1:15" s="8" customFormat="1">
      <c r="A15" s="19" t="s">
        <v>11</v>
      </c>
      <c r="B15" s="19"/>
      <c r="C15" s="19"/>
      <c r="D15" s="20">
        <f t="shared" ref="D15:F15" si="0">SUM(D8:D14)</f>
        <v>28.684500000000003</v>
      </c>
      <c r="E15" s="20">
        <f t="shared" si="0"/>
        <v>26.140999999999995</v>
      </c>
      <c r="F15" s="20">
        <f t="shared" si="0"/>
        <v>107.48500000000001</v>
      </c>
      <c r="G15" s="20">
        <f>SUM(G8:G14)</f>
        <v>792.73</v>
      </c>
      <c r="H15" s="20"/>
      <c r="I15" s="20"/>
      <c r="J15" s="20"/>
      <c r="K15" s="20"/>
      <c r="L15" s="20"/>
      <c r="M15" s="20"/>
      <c r="N15" s="20"/>
      <c r="O15" s="20"/>
    </row>
    <row r="16" spans="1:15" s="1" customFormat="1" ht="31.5">
      <c r="A16" s="31" t="s">
        <v>31</v>
      </c>
      <c r="B16" s="24" t="s">
        <v>32</v>
      </c>
      <c r="C16" s="32"/>
    </row>
    <row r="17" spans="1:19" s="1" customFormat="1" ht="15.75">
      <c r="A17" s="85" t="s">
        <v>21</v>
      </c>
      <c r="B17" s="85" t="s">
        <v>18</v>
      </c>
      <c r="C17" s="88" t="s">
        <v>20</v>
      </c>
      <c r="D17" s="82" t="s">
        <v>24</v>
      </c>
      <c r="E17" s="83"/>
      <c r="F17" s="84"/>
      <c r="G17" s="85" t="s">
        <v>0</v>
      </c>
      <c r="H17" s="82" t="s">
        <v>23</v>
      </c>
      <c r="I17" s="83"/>
      <c r="J17" s="83"/>
      <c r="K17" s="84"/>
      <c r="L17" s="82" t="s">
        <v>22</v>
      </c>
      <c r="M17" s="83"/>
      <c r="N17" s="83"/>
      <c r="O17" s="84"/>
    </row>
    <row r="18" spans="1:19" s="1" customFormat="1" ht="15.75">
      <c r="A18" s="86"/>
      <c r="B18" s="87"/>
      <c r="C18" s="89"/>
      <c r="D18" s="33" t="s">
        <v>1</v>
      </c>
      <c r="E18" s="33" t="s">
        <v>2</v>
      </c>
      <c r="F18" s="33" t="s">
        <v>3</v>
      </c>
      <c r="G18" s="86"/>
      <c r="H18" s="33" t="s">
        <v>54</v>
      </c>
      <c r="I18" s="33" t="s">
        <v>4</v>
      </c>
      <c r="J18" s="33" t="s">
        <v>5</v>
      </c>
      <c r="K18" s="33" t="s">
        <v>6</v>
      </c>
      <c r="L18" s="33" t="s">
        <v>7</v>
      </c>
      <c r="M18" s="33" t="s">
        <v>8</v>
      </c>
      <c r="N18" s="33" t="s">
        <v>9</v>
      </c>
      <c r="O18" s="33" t="s">
        <v>10</v>
      </c>
    </row>
    <row r="19" spans="1:19" s="1" customFormat="1" ht="18.75">
      <c r="A19" s="90" t="s">
        <v>19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36"/>
      <c r="Q19" s="36"/>
      <c r="R19" s="36"/>
      <c r="S19" s="36"/>
    </row>
    <row r="20" spans="1:19" s="29" customFormat="1" ht="25.5">
      <c r="A20" s="27">
        <v>67</v>
      </c>
      <c r="B20" s="28" t="s">
        <v>47</v>
      </c>
      <c r="C20" s="34">
        <v>100</v>
      </c>
      <c r="D20" s="4">
        <v>1.4</v>
      </c>
      <c r="E20" s="4">
        <v>10.039999999999999</v>
      </c>
      <c r="F20" s="4">
        <v>7.29</v>
      </c>
      <c r="G20" s="4">
        <f>125.1</f>
        <v>125.1</v>
      </c>
      <c r="H20" s="4">
        <f>0.44/10</f>
        <v>4.3999999999999997E-2</v>
      </c>
      <c r="I20" s="4">
        <v>9.6300000000000008</v>
      </c>
      <c r="J20" s="4"/>
      <c r="K20" s="4">
        <v>4.5</v>
      </c>
      <c r="L20" s="4">
        <v>31.23</v>
      </c>
      <c r="M20" s="4">
        <v>43.27</v>
      </c>
      <c r="N20" s="4">
        <v>19.53</v>
      </c>
      <c r="O20" s="37">
        <v>0.83</v>
      </c>
      <c r="P20" s="35"/>
      <c r="Q20" s="35"/>
      <c r="R20" s="35"/>
      <c r="S20" s="35"/>
    </row>
    <row r="21" spans="1:19" s="1" customFormat="1" ht="25.5">
      <c r="A21" s="30">
        <v>82</v>
      </c>
      <c r="B21" s="11" t="s">
        <v>62</v>
      </c>
      <c r="C21" s="38">
        <v>250</v>
      </c>
      <c r="D21" s="2">
        <f>(7.21/4)+0.8</f>
        <v>2.6025</v>
      </c>
      <c r="E21" s="2">
        <f>(19.68/4)+0.2</f>
        <v>5.12</v>
      </c>
      <c r="F21" s="2">
        <f>43.73/4</f>
        <v>10.932499999999999</v>
      </c>
      <c r="G21" s="2">
        <f>(415/4)+5+30</f>
        <v>138.75</v>
      </c>
      <c r="H21" s="2">
        <f>0.2/4</f>
        <v>0.05</v>
      </c>
      <c r="I21" s="2">
        <f>42.7/4</f>
        <v>10.675000000000001</v>
      </c>
      <c r="J21" s="2"/>
      <c r="K21" s="2">
        <f>9.6/4</f>
        <v>2.4</v>
      </c>
      <c r="L21" s="2">
        <f>(198.9/4)+2</f>
        <v>51.725000000000001</v>
      </c>
      <c r="M21" s="2">
        <f>218.4/4</f>
        <v>54.6</v>
      </c>
      <c r="N21" s="2">
        <f>104.5/4</f>
        <v>26.125</v>
      </c>
      <c r="O21" s="2">
        <f>4.9/4</f>
        <v>1.2250000000000001</v>
      </c>
    </row>
    <row r="22" spans="1:19" s="29" customFormat="1" ht="25.5">
      <c r="A22" s="27">
        <v>229</v>
      </c>
      <c r="B22" s="28" t="s">
        <v>41</v>
      </c>
      <c r="C22" s="34">
        <v>100</v>
      </c>
      <c r="D22" s="4">
        <v>9.75</v>
      </c>
      <c r="E22" s="4">
        <v>4.95</v>
      </c>
      <c r="F22" s="4">
        <v>3.8</v>
      </c>
      <c r="G22" s="4">
        <v>105</v>
      </c>
      <c r="H22" s="4">
        <v>0.05</v>
      </c>
      <c r="I22" s="4">
        <v>3.73</v>
      </c>
      <c r="J22" s="4">
        <v>5.82</v>
      </c>
      <c r="K22" s="4">
        <v>2.52</v>
      </c>
      <c r="L22" s="4">
        <v>39.07</v>
      </c>
      <c r="M22" s="4">
        <v>162.19</v>
      </c>
      <c r="N22" s="4">
        <v>48.53</v>
      </c>
      <c r="O22" s="4">
        <v>0.85</v>
      </c>
    </row>
    <row r="23" spans="1:19" s="1" customFormat="1" ht="15">
      <c r="A23" s="39">
        <v>312</v>
      </c>
      <c r="B23" s="28" t="s">
        <v>13</v>
      </c>
      <c r="C23" s="40">
        <v>150</v>
      </c>
      <c r="D23" s="2">
        <f>20.473/100*15</f>
        <v>3.0709499999999998</v>
      </c>
      <c r="E23" s="2">
        <f>32.01/100/15</f>
        <v>2.1340000000000001E-2</v>
      </c>
      <c r="F23" s="2">
        <f>136.26/100*15</f>
        <v>20.438999999999997</v>
      </c>
      <c r="G23" s="2">
        <f>915/100*15</f>
        <v>137.25</v>
      </c>
      <c r="H23" s="2">
        <f>0.93/100*15</f>
        <v>0.13950000000000001</v>
      </c>
      <c r="I23" s="2">
        <f>121.07/100*15</f>
        <v>18.160499999999999</v>
      </c>
      <c r="J23" s="2"/>
      <c r="K23" s="2">
        <f>1.21/100*15</f>
        <v>0.18149999999999999</v>
      </c>
      <c r="L23" s="2">
        <f>246.5/100*15</f>
        <v>36.974999999999994</v>
      </c>
      <c r="M23" s="2">
        <f>577.3/100*15</f>
        <v>86.594999999999999</v>
      </c>
      <c r="N23" s="2">
        <f>185/100*15</f>
        <v>27.75</v>
      </c>
      <c r="O23" s="2">
        <f>6.73/100*15</f>
        <v>1.0095000000000001</v>
      </c>
    </row>
    <row r="24" spans="1:19" s="29" customFormat="1" ht="15">
      <c r="A24" s="27">
        <v>389</v>
      </c>
      <c r="B24" s="28" t="s">
        <v>55</v>
      </c>
      <c r="C24" s="16">
        <v>200</v>
      </c>
      <c r="D24" s="17">
        <f>1</f>
        <v>1</v>
      </c>
      <c r="E24" s="16">
        <v>0</v>
      </c>
      <c r="F24" s="17">
        <f>101/5</f>
        <v>20.2</v>
      </c>
      <c r="G24" s="16">
        <f>424/5</f>
        <v>84.8</v>
      </c>
      <c r="H24" s="17">
        <f>0.11/5</f>
        <v>2.1999999999999999E-2</v>
      </c>
      <c r="I24" s="16">
        <f>30/5</f>
        <v>6</v>
      </c>
      <c r="J24" s="17">
        <v>0</v>
      </c>
      <c r="K24" s="16">
        <f>1/5</f>
        <v>0.2</v>
      </c>
      <c r="L24" s="17">
        <f>70/5</f>
        <v>14</v>
      </c>
      <c r="M24" s="16">
        <f>70/5</f>
        <v>14</v>
      </c>
      <c r="N24" s="17">
        <f>40/5</f>
        <v>8</v>
      </c>
      <c r="O24" s="18">
        <f>14/5</f>
        <v>2.8</v>
      </c>
    </row>
    <row r="25" spans="1:19" s="8" customFormat="1">
      <c r="A25" s="13"/>
      <c r="B25" s="28" t="s">
        <v>14</v>
      </c>
      <c r="C25" s="27">
        <v>40</v>
      </c>
      <c r="D25" s="4">
        <v>2.2400000000000002</v>
      </c>
      <c r="E25" s="4">
        <v>0.88</v>
      </c>
      <c r="F25" s="4">
        <v>19.760000000000002</v>
      </c>
      <c r="G25" s="4">
        <v>91.96</v>
      </c>
      <c r="H25" s="4">
        <v>0.04</v>
      </c>
      <c r="I25" s="4"/>
      <c r="J25" s="4"/>
      <c r="K25" s="4">
        <v>0.36</v>
      </c>
      <c r="L25" s="4">
        <v>9.1999999999999993</v>
      </c>
      <c r="M25" s="4">
        <v>42.4</v>
      </c>
      <c r="N25" s="4">
        <v>10</v>
      </c>
      <c r="O25" s="4">
        <v>1.24</v>
      </c>
    </row>
    <row r="26" spans="1:19" s="29" customFormat="1" ht="15">
      <c r="A26" s="13"/>
      <c r="B26" s="28" t="s">
        <v>44</v>
      </c>
      <c r="C26" s="27">
        <v>40</v>
      </c>
      <c r="D26" s="4">
        <v>3.16</v>
      </c>
      <c r="E26" s="4">
        <v>0.4</v>
      </c>
      <c r="F26" s="4">
        <v>19.32</v>
      </c>
      <c r="G26" s="4">
        <v>93.52</v>
      </c>
      <c r="H26" s="4">
        <v>0.04</v>
      </c>
      <c r="I26" s="4"/>
      <c r="J26" s="4"/>
      <c r="K26" s="4">
        <v>0.52</v>
      </c>
      <c r="L26" s="4">
        <v>9.1999999999999993</v>
      </c>
      <c r="M26" s="4">
        <v>34.799999999999997</v>
      </c>
      <c r="N26" s="4">
        <v>13.2</v>
      </c>
      <c r="O26" s="4">
        <v>0.44</v>
      </c>
    </row>
    <row r="27" spans="1:19" s="29" customFormat="1" ht="15">
      <c r="A27" s="41" t="s">
        <v>11</v>
      </c>
      <c r="B27" s="42"/>
      <c r="C27" s="43"/>
      <c r="D27" s="44">
        <f>SUM(D20:D26)</f>
        <v>23.223450000000003</v>
      </c>
      <c r="E27" s="44">
        <f t="shared" ref="E27:F27" si="1">SUM(E20:E26)</f>
        <v>21.411339999999996</v>
      </c>
      <c r="F27" s="44">
        <f t="shared" si="1"/>
        <v>101.7415</v>
      </c>
      <c r="G27" s="44">
        <f>SUM(G20:G26)</f>
        <v>776.38</v>
      </c>
      <c r="H27" s="45"/>
      <c r="I27" s="45"/>
      <c r="J27" s="45"/>
      <c r="K27" s="45"/>
      <c r="L27" s="45"/>
      <c r="M27" s="45"/>
      <c r="N27" s="45"/>
      <c r="O27" s="45"/>
    </row>
    <row r="28" spans="1:19" s="29" customFormat="1" ht="15.75">
      <c r="A28" s="46" t="s">
        <v>26</v>
      </c>
      <c r="B28" s="47" t="s">
        <v>34</v>
      </c>
    </row>
    <row r="29" spans="1:19" s="29" customFormat="1" ht="15.75">
      <c r="A29" s="46" t="s">
        <v>28</v>
      </c>
      <c r="B29" s="47" t="s">
        <v>29</v>
      </c>
    </row>
    <row r="30" spans="1:19" s="29" customFormat="1" ht="15.75">
      <c r="A30" s="46" t="s">
        <v>30</v>
      </c>
      <c r="B30" s="6" t="s">
        <v>61</v>
      </c>
    </row>
    <row r="31" spans="1:19" s="29" customFormat="1" ht="31.5">
      <c r="A31" s="46" t="s">
        <v>31</v>
      </c>
      <c r="B31" s="47" t="s">
        <v>32</v>
      </c>
    </row>
    <row r="32" spans="1:19" s="29" customFormat="1" ht="18.75">
      <c r="A32" s="99" t="s">
        <v>19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</row>
    <row r="33" spans="1:27" s="29" customFormat="1" ht="25.5">
      <c r="A33" s="27">
        <v>45</v>
      </c>
      <c r="B33" s="28" t="s">
        <v>40</v>
      </c>
      <c r="C33" s="27">
        <v>100</v>
      </c>
      <c r="D33" s="4">
        <f>13.12/10</f>
        <v>1.3119999999999998</v>
      </c>
      <c r="E33" s="4">
        <f>32.49/10</f>
        <v>3.2490000000000001</v>
      </c>
      <c r="F33" s="4">
        <f>6.5</f>
        <v>6.5</v>
      </c>
      <c r="G33" s="4">
        <v>60.4</v>
      </c>
      <c r="H33" s="4">
        <v>0.02</v>
      </c>
      <c r="I33" s="4">
        <v>17.010000000000002</v>
      </c>
      <c r="J33" s="4"/>
      <c r="K33" s="4">
        <v>8.39</v>
      </c>
      <c r="L33" s="4">
        <v>24.97</v>
      </c>
      <c r="M33" s="4">
        <v>28.3</v>
      </c>
      <c r="N33" s="4">
        <v>15.09</v>
      </c>
      <c r="O33" s="4">
        <v>0.47</v>
      </c>
    </row>
    <row r="34" spans="1:27" s="9" customFormat="1" ht="25.5" customHeight="1">
      <c r="A34" s="27">
        <v>112</v>
      </c>
      <c r="B34" s="28" t="s">
        <v>51</v>
      </c>
      <c r="C34" s="27">
        <v>250</v>
      </c>
      <c r="D34" s="4">
        <f>10.27/4+0.8</f>
        <v>3.3674999999999997</v>
      </c>
      <c r="E34" s="4">
        <f>11.12/4+0.2</f>
        <v>2.98</v>
      </c>
      <c r="F34" s="4">
        <f>62.75/4</f>
        <v>15.6875</v>
      </c>
      <c r="G34" s="4">
        <f>436/4+5+30</f>
        <v>144</v>
      </c>
      <c r="H34" s="4">
        <f>0.37/4</f>
        <v>9.2499999999999999E-2</v>
      </c>
      <c r="I34" s="4">
        <f>24.3/4</f>
        <v>6.0750000000000002</v>
      </c>
      <c r="J34" s="4"/>
      <c r="K34" s="4">
        <f>5.8/4</f>
        <v>1.45</v>
      </c>
      <c r="L34" s="4">
        <f>118/4+2</f>
        <v>31.5</v>
      </c>
      <c r="M34" s="4">
        <f>230.9/4</f>
        <v>57.725000000000001</v>
      </c>
      <c r="N34" s="4">
        <f>95.2/4</f>
        <v>23.8</v>
      </c>
      <c r="O34" s="4">
        <f>4/4</f>
        <v>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29" customFormat="1" ht="25.5">
      <c r="A35" s="27">
        <v>295</v>
      </c>
      <c r="B35" s="28" t="s">
        <v>49</v>
      </c>
      <c r="C35" s="27">
        <v>105</v>
      </c>
      <c r="D35" s="4">
        <f>7.65*2</f>
        <v>15.3</v>
      </c>
      <c r="E35" s="4">
        <f>14.7*2</f>
        <v>29.4</v>
      </c>
      <c r="F35" s="4">
        <f>7.73*2</f>
        <v>15.46</v>
      </c>
      <c r="G35" s="4">
        <f>194*2</f>
        <v>388</v>
      </c>
      <c r="H35" s="4">
        <f>0.05*2</f>
        <v>0.1</v>
      </c>
      <c r="I35" s="4">
        <f>0.52*2</f>
        <v>1.04</v>
      </c>
      <c r="J35" s="4">
        <f>45.7*2</f>
        <v>91.4</v>
      </c>
      <c r="K35" s="4">
        <f>1.45*2</f>
        <v>2.9</v>
      </c>
      <c r="L35" s="4">
        <f>27.77*2</f>
        <v>55.54</v>
      </c>
      <c r="M35" s="4">
        <f>48.77*2</f>
        <v>97.54</v>
      </c>
      <c r="N35" s="4">
        <f>10.4*2</f>
        <v>20.8</v>
      </c>
      <c r="O35" s="4">
        <f>0.71*2</f>
        <v>1.42</v>
      </c>
    </row>
    <row r="36" spans="1:27" s="29" customFormat="1" ht="15">
      <c r="A36" s="27">
        <v>139</v>
      </c>
      <c r="B36" s="28" t="s">
        <v>56</v>
      </c>
      <c r="C36" s="27">
        <v>150</v>
      </c>
      <c r="D36" s="4">
        <v>2.04</v>
      </c>
      <c r="E36" s="4">
        <v>3.68</v>
      </c>
      <c r="F36" s="4">
        <v>7.89</v>
      </c>
      <c r="G36" s="4">
        <v>77</v>
      </c>
      <c r="H36" s="4">
        <v>0.04</v>
      </c>
      <c r="I36" s="4">
        <v>17.079999999999998</v>
      </c>
      <c r="J36" s="4">
        <v>0</v>
      </c>
      <c r="K36" s="4">
        <v>1.95</v>
      </c>
      <c r="L36" s="4">
        <v>58.75</v>
      </c>
      <c r="M36" s="4">
        <v>40.69</v>
      </c>
      <c r="N36" s="4">
        <v>20.85</v>
      </c>
      <c r="O36" s="4">
        <v>0.83</v>
      </c>
    </row>
    <row r="37" spans="1:27" s="29" customFormat="1" ht="15">
      <c r="A37" s="27">
        <v>389</v>
      </c>
      <c r="B37" s="28" t="s">
        <v>59</v>
      </c>
      <c r="C37" s="16">
        <v>200</v>
      </c>
      <c r="D37" s="17">
        <f>1</f>
        <v>1</v>
      </c>
      <c r="E37" s="16">
        <v>0</v>
      </c>
      <c r="F37" s="17">
        <f>101/5</f>
        <v>20.2</v>
      </c>
      <c r="G37" s="16">
        <f>424/5</f>
        <v>84.8</v>
      </c>
      <c r="H37" s="17">
        <f>0.11/5</f>
        <v>2.1999999999999999E-2</v>
      </c>
      <c r="I37" s="16">
        <f>30/5</f>
        <v>6</v>
      </c>
      <c r="J37" s="17">
        <v>0</v>
      </c>
      <c r="K37" s="16">
        <f>1/5</f>
        <v>0.2</v>
      </c>
      <c r="L37" s="17">
        <f>70/5</f>
        <v>14</v>
      </c>
      <c r="M37" s="16">
        <f>70/5</f>
        <v>14</v>
      </c>
      <c r="N37" s="17">
        <f>40/5</f>
        <v>8</v>
      </c>
      <c r="O37" s="18">
        <f>14/5</f>
        <v>2.8</v>
      </c>
    </row>
    <row r="38" spans="1:27" s="29" customFormat="1" ht="15">
      <c r="A38" s="13"/>
      <c r="B38" s="28" t="s">
        <v>14</v>
      </c>
      <c r="C38" s="27">
        <v>40</v>
      </c>
      <c r="D38" s="4">
        <v>2.2400000000000002</v>
      </c>
      <c r="E38" s="4">
        <v>0.88</v>
      </c>
      <c r="F38" s="4">
        <v>19.760000000000002</v>
      </c>
      <c r="G38" s="4">
        <v>91.96</v>
      </c>
      <c r="H38" s="4">
        <v>0.04</v>
      </c>
      <c r="I38" s="4"/>
      <c r="J38" s="4"/>
      <c r="K38" s="4">
        <v>0.36</v>
      </c>
      <c r="L38" s="4">
        <v>9.1999999999999993</v>
      </c>
      <c r="M38" s="4">
        <v>42.4</v>
      </c>
      <c r="N38" s="4">
        <v>10</v>
      </c>
      <c r="O38" s="4">
        <v>1.24</v>
      </c>
    </row>
    <row r="39" spans="1:27" s="29" customFormat="1" ht="15">
      <c r="A39" s="13"/>
      <c r="B39" s="28" t="s">
        <v>44</v>
      </c>
      <c r="C39" s="27">
        <v>40</v>
      </c>
      <c r="D39" s="4">
        <v>3.16</v>
      </c>
      <c r="E39" s="4">
        <v>0.4</v>
      </c>
      <c r="F39" s="4">
        <v>19.32</v>
      </c>
      <c r="G39" s="4">
        <v>93.52</v>
      </c>
      <c r="H39" s="4">
        <v>0.04</v>
      </c>
      <c r="I39" s="4"/>
      <c r="J39" s="4"/>
      <c r="K39" s="4">
        <v>0.52</v>
      </c>
      <c r="L39" s="4">
        <v>9.1999999999999993</v>
      </c>
      <c r="M39" s="4">
        <v>34.799999999999997</v>
      </c>
      <c r="N39" s="4">
        <v>13.2</v>
      </c>
      <c r="O39" s="4">
        <v>0.44</v>
      </c>
    </row>
    <row r="40" spans="1:27" s="51" customFormat="1" ht="15">
      <c r="A40" s="19" t="s">
        <v>11</v>
      </c>
      <c r="B40" s="19"/>
      <c r="C40" s="19"/>
      <c r="D40" s="50">
        <f>SUM(D33:D39)</f>
        <v>28.419500000000003</v>
      </c>
      <c r="E40" s="50">
        <f t="shared" ref="E40:F40" si="2">SUM(E33:E39)</f>
        <v>40.588999999999999</v>
      </c>
      <c r="F40" s="50">
        <f t="shared" si="2"/>
        <v>104.8175</v>
      </c>
      <c r="G40" s="50">
        <f>SUM(G33:G39)</f>
        <v>939.68</v>
      </c>
      <c r="H40" s="21"/>
      <c r="I40" s="21"/>
      <c r="J40" s="21"/>
      <c r="K40" s="21"/>
      <c r="L40" s="21"/>
      <c r="M40" s="21"/>
      <c r="N40" s="21"/>
      <c r="O40" s="21"/>
    </row>
    <row r="41" spans="1:27" s="1" customFormat="1" ht="15.75">
      <c r="A41" s="31" t="s">
        <v>26</v>
      </c>
      <c r="B41" s="24" t="s">
        <v>35</v>
      </c>
    </row>
    <row r="42" spans="1:27" s="1" customFormat="1" ht="15.75">
      <c r="A42" s="31" t="s">
        <v>28</v>
      </c>
      <c r="B42" s="24" t="s">
        <v>29</v>
      </c>
    </row>
    <row r="43" spans="1:27" s="1" customFormat="1" ht="15.75">
      <c r="A43" s="31" t="s">
        <v>30</v>
      </c>
      <c r="B43" s="6" t="s">
        <v>61</v>
      </c>
    </row>
    <row r="44" spans="1:27" s="1" customFormat="1" ht="31.5">
      <c r="A44" s="31" t="s">
        <v>31</v>
      </c>
      <c r="B44" s="24" t="s">
        <v>32</v>
      </c>
    </row>
    <row r="45" spans="1:27" s="1" customFormat="1" ht="15.75" customHeight="1">
      <c r="A45" s="85" t="s">
        <v>21</v>
      </c>
      <c r="B45" s="85" t="s">
        <v>18</v>
      </c>
      <c r="C45" s="85" t="s">
        <v>20</v>
      </c>
      <c r="D45" s="82" t="s">
        <v>24</v>
      </c>
      <c r="E45" s="83"/>
      <c r="F45" s="84"/>
      <c r="G45" s="85" t="s">
        <v>0</v>
      </c>
      <c r="H45" s="82" t="s">
        <v>23</v>
      </c>
      <c r="I45" s="83"/>
      <c r="J45" s="83"/>
      <c r="K45" s="84"/>
      <c r="L45" s="82" t="s">
        <v>22</v>
      </c>
      <c r="M45" s="83"/>
      <c r="N45" s="83"/>
      <c r="O45" s="84"/>
    </row>
    <row r="46" spans="1:27" s="1" customFormat="1" ht="15.75">
      <c r="A46" s="86"/>
      <c r="B46" s="86"/>
      <c r="C46" s="86"/>
      <c r="D46" s="33" t="s">
        <v>1</v>
      </c>
      <c r="E46" s="33" t="s">
        <v>2</v>
      </c>
      <c r="F46" s="33" t="s">
        <v>3</v>
      </c>
      <c r="G46" s="86"/>
      <c r="H46" s="33" t="s">
        <v>54</v>
      </c>
      <c r="I46" s="33" t="s">
        <v>4</v>
      </c>
      <c r="J46" s="33" t="s">
        <v>5</v>
      </c>
      <c r="K46" s="33" t="s">
        <v>6</v>
      </c>
      <c r="L46" s="33" t="s">
        <v>7</v>
      </c>
      <c r="M46" s="33" t="s">
        <v>8</v>
      </c>
      <c r="N46" s="33" t="s">
        <v>9</v>
      </c>
      <c r="O46" s="33" t="s">
        <v>10</v>
      </c>
    </row>
    <row r="47" spans="1:27" s="29" customFormat="1" ht="18.75">
      <c r="A47" s="100" t="s">
        <v>19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1:27" s="29" customFormat="1" ht="25.5">
      <c r="A48" s="27">
        <v>54</v>
      </c>
      <c r="B48" s="28" t="s">
        <v>42</v>
      </c>
      <c r="C48" s="27">
        <v>100</v>
      </c>
      <c r="D48" s="4">
        <f>1.9</f>
        <v>1.9</v>
      </c>
      <c r="E48" s="4">
        <v>6.08</v>
      </c>
      <c r="F48" s="4">
        <v>11.2</v>
      </c>
      <c r="G48" s="4">
        <v>103.9</v>
      </c>
      <c r="H48" s="4">
        <v>0.02</v>
      </c>
      <c r="I48" s="4">
        <v>6.44</v>
      </c>
      <c r="J48" s="4"/>
      <c r="K48" s="4">
        <v>10.6</v>
      </c>
      <c r="L48" s="4">
        <v>29.27</v>
      </c>
      <c r="M48" s="4">
        <v>31.8</v>
      </c>
      <c r="N48" s="4">
        <v>16.829999999999998</v>
      </c>
      <c r="O48" s="4">
        <v>1.48</v>
      </c>
    </row>
    <row r="49" spans="1:15" s="29" customFormat="1" ht="38.25">
      <c r="A49" s="27">
        <v>88</v>
      </c>
      <c r="B49" s="28" t="s">
        <v>48</v>
      </c>
      <c r="C49" s="27">
        <v>250</v>
      </c>
      <c r="D49" s="4">
        <f>(7.06/4)+0.8</f>
        <v>2.5649999999999999</v>
      </c>
      <c r="E49" s="4">
        <f>(19.8/4)+0.2</f>
        <v>5.15</v>
      </c>
      <c r="F49" s="4">
        <f>31.61/4</f>
        <v>7.9024999999999999</v>
      </c>
      <c r="G49" s="4">
        <f>(359/4)+5+30</f>
        <v>124.75</v>
      </c>
      <c r="H49" s="4">
        <f>0.23/4</f>
        <v>5.7500000000000002E-2</v>
      </c>
      <c r="I49" s="4">
        <f>63.1/4</f>
        <v>15.775</v>
      </c>
      <c r="J49" s="4"/>
      <c r="K49" s="4">
        <f>9.4/4</f>
        <v>2.35</v>
      </c>
      <c r="L49" s="4">
        <f>(197/4)+2</f>
        <v>51.25</v>
      </c>
      <c r="M49" s="4">
        <f>196/4</f>
        <v>49</v>
      </c>
      <c r="N49" s="4">
        <f>88.5/4</f>
        <v>22.125</v>
      </c>
      <c r="O49" s="4">
        <f>3.3/4</f>
        <v>0.82499999999999996</v>
      </c>
    </row>
    <row r="50" spans="1:15" s="29" customFormat="1" ht="15">
      <c r="A50" s="27">
        <v>302</v>
      </c>
      <c r="B50" s="28" t="s">
        <v>17</v>
      </c>
      <c r="C50" s="27">
        <v>150</v>
      </c>
      <c r="D50" s="4">
        <f>57.32/100*15</f>
        <v>8.5980000000000008</v>
      </c>
      <c r="E50" s="4">
        <f>40.62/100*15</f>
        <v>6.0929999999999991</v>
      </c>
      <c r="F50" s="4">
        <f>257.61/100*15</f>
        <v>38.641500000000008</v>
      </c>
      <c r="G50" s="4">
        <f>1625/100*15</f>
        <v>243.75</v>
      </c>
      <c r="H50" s="4">
        <f>1.39/100*15</f>
        <v>0.20849999999999999</v>
      </c>
      <c r="I50" s="4"/>
      <c r="J50" s="4"/>
      <c r="K50" s="4">
        <f>4.05/100*15</f>
        <v>0.60750000000000004</v>
      </c>
      <c r="L50" s="4">
        <f>98.8/100*15</f>
        <v>14.82</v>
      </c>
      <c r="M50" s="4">
        <f>1359.5/100*15</f>
        <v>203.92500000000001</v>
      </c>
      <c r="N50" s="4">
        <f>905.5/100*15</f>
        <v>135.82499999999999</v>
      </c>
      <c r="O50" s="4">
        <f>30.4/100*15</f>
        <v>4.5599999999999996</v>
      </c>
    </row>
    <row r="51" spans="1:15" s="29" customFormat="1" ht="15">
      <c r="A51" s="27">
        <v>278</v>
      </c>
      <c r="B51" s="28" t="s">
        <v>16</v>
      </c>
      <c r="C51" s="27">
        <v>110</v>
      </c>
      <c r="D51" s="4">
        <v>7.83</v>
      </c>
      <c r="E51" s="4">
        <v>8.75</v>
      </c>
      <c r="F51" s="4">
        <v>10.25</v>
      </c>
      <c r="G51" s="4">
        <v>151</v>
      </c>
      <c r="H51" s="4">
        <v>0.05</v>
      </c>
      <c r="I51" s="4">
        <v>0.72</v>
      </c>
      <c r="J51" s="4">
        <v>33.92</v>
      </c>
      <c r="K51" s="4">
        <v>0.55000000000000004</v>
      </c>
      <c r="L51" s="4">
        <v>27.95</v>
      </c>
      <c r="M51" s="4">
        <v>88.37</v>
      </c>
      <c r="N51" s="4">
        <v>18.329999999999998</v>
      </c>
      <c r="O51" s="4">
        <v>0.87</v>
      </c>
    </row>
    <row r="52" spans="1:15" s="29" customFormat="1" ht="15">
      <c r="A52" s="27">
        <v>389</v>
      </c>
      <c r="B52" s="28" t="s">
        <v>60</v>
      </c>
      <c r="C52" s="16">
        <v>200</v>
      </c>
      <c r="D52" s="17">
        <f>1</f>
        <v>1</v>
      </c>
      <c r="E52" s="16">
        <v>0</v>
      </c>
      <c r="F52" s="17">
        <f>101/5</f>
        <v>20.2</v>
      </c>
      <c r="G52" s="16">
        <f>424/5</f>
        <v>84.8</v>
      </c>
      <c r="H52" s="17">
        <f>0.11/5</f>
        <v>2.1999999999999999E-2</v>
      </c>
      <c r="I52" s="16">
        <f>30/5</f>
        <v>6</v>
      </c>
      <c r="J52" s="17">
        <v>0</v>
      </c>
      <c r="K52" s="16">
        <f>1/5</f>
        <v>0.2</v>
      </c>
      <c r="L52" s="17">
        <f>70/5</f>
        <v>14</v>
      </c>
      <c r="M52" s="16">
        <f>70/5</f>
        <v>14</v>
      </c>
      <c r="N52" s="17">
        <f>40/5</f>
        <v>8</v>
      </c>
      <c r="O52" s="18">
        <f>14/5</f>
        <v>2.8</v>
      </c>
    </row>
    <row r="53" spans="1:15" s="29" customFormat="1" ht="15">
      <c r="A53" s="13"/>
      <c r="B53" s="28" t="s">
        <v>14</v>
      </c>
      <c r="C53" s="27">
        <v>40</v>
      </c>
      <c r="D53" s="4">
        <v>2.2400000000000002</v>
      </c>
      <c r="E53" s="4">
        <v>0.88</v>
      </c>
      <c r="F53" s="4">
        <v>19.760000000000002</v>
      </c>
      <c r="G53" s="4">
        <v>91.96</v>
      </c>
      <c r="H53" s="4">
        <v>0.04</v>
      </c>
      <c r="I53" s="4"/>
      <c r="J53" s="4"/>
      <c r="K53" s="4">
        <v>0.36</v>
      </c>
      <c r="L53" s="4">
        <v>9.1999999999999993</v>
      </c>
      <c r="M53" s="4">
        <v>42.4</v>
      </c>
      <c r="N53" s="4">
        <v>10</v>
      </c>
      <c r="O53" s="4">
        <v>1.24</v>
      </c>
    </row>
    <row r="54" spans="1:15" s="29" customFormat="1" ht="15">
      <c r="A54" s="13"/>
      <c r="B54" s="28" t="s">
        <v>44</v>
      </c>
      <c r="C54" s="27">
        <v>40</v>
      </c>
      <c r="D54" s="4">
        <v>3.16</v>
      </c>
      <c r="E54" s="4">
        <v>0.4</v>
      </c>
      <c r="F54" s="4">
        <v>19.32</v>
      </c>
      <c r="G54" s="4">
        <v>93.52</v>
      </c>
      <c r="H54" s="4">
        <v>0.04</v>
      </c>
      <c r="I54" s="4"/>
      <c r="J54" s="4"/>
      <c r="K54" s="4">
        <v>0.52</v>
      </c>
      <c r="L54" s="4">
        <v>9.1999999999999993</v>
      </c>
      <c r="M54" s="4">
        <v>34.799999999999997</v>
      </c>
      <c r="N54" s="4">
        <v>13.2</v>
      </c>
      <c r="O54" s="4">
        <v>0.44</v>
      </c>
    </row>
    <row r="55" spans="1:15" s="1" customFormat="1" ht="15">
      <c r="A55" s="19" t="s">
        <v>11</v>
      </c>
      <c r="B55" s="19"/>
      <c r="C55" s="19"/>
      <c r="D55" s="20">
        <f>SUM(D48:D54)</f>
        <v>27.293000000000003</v>
      </c>
      <c r="E55" s="20">
        <f t="shared" ref="E55:G55" si="3">SUM(E48:E54)</f>
        <v>27.352999999999998</v>
      </c>
      <c r="F55" s="20">
        <f t="shared" si="3"/>
        <v>127.274</v>
      </c>
      <c r="G55" s="20">
        <f t="shared" si="3"/>
        <v>893.68</v>
      </c>
      <c r="H55" s="20"/>
      <c r="I55" s="20"/>
      <c r="J55" s="20"/>
      <c r="K55" s="20"/>
      <c r="L55" s="20"/>
      <c r="M55" s="20"/>
      <c r="N55" s="20"/>
      <c r="O55" s="20"/>
    </row>
    <row r="56" spans="1:15" s="1" customFormat="1" ht="15.75">
      <c r="A56" s="31" t="s">
        <v>26</v>
      </c>
      <c r="B56" s="24" t="s">
        <v>37</v>
      </c>
    </row>
    <row r="57" spans="1:15" s="1" customFormat="1" ht="15.75">
      <c r="A57" s="31" t="s">
        <v>28</v>
      </c>
      <c r="B57" s="24" t="s">
        <v>29</v>
      </c>
    </row>
    <row r="58" spans="1:15" s="1" customFormat="1" ht="15.75">
      <c r="A58" s="31" t="s">
        <v>30</v>
      </c>
      <c r="B58" s="6" t="s">
        <v>61</v>
      </c>
    </row>
    <row r="59" spans="1:15" s="1" customFormat="1" ht="31.5">
      <c r="A59" s="31" t="s">
        <v>31</v>
      </c>
      <c r="B59" s="24" t="s">
        <v>32</v>
      </c>
    </row>
    <row r="60" spans="1:15" s="1" customFormat="1" ht="15.75">
      <c r="A60" s="85" t="s">
        <v>21</v>
      </c>
      <c r="B60" s="85" t="s">
        <v>18</v>
      </c>
      <c r="C60" s="85" t="s">
        <v>20</v>
      </c>
      <c r="D60" s="82" t="s">
        <v>24</v>
      </c>
      <c r="E60" s="83"/>
      <c r="F60" s="84"/>
      <c r="G60" s="85" t="s">
        <v>0</v>
      </c>
      <c r="H60" s="82" t="s">
        <v>23</v>
      </c>
      <c r="I60" s="83"/>
      <c r="J60" s="83"/>
      <c r="K60" s="84"/>
      <c r="L60" s="82" t="s">
        <v>22</v>
      </c>
      <c r="M60" s="83"/>
      <c r="N60" s="83"/>
      <c r="O60" s="84"/>
    </row>
    <row r="61" spans="1:15" s="1" customFormat="1" ht="15.75">
      <c r="A61" s="86"/>
      <c r="B61" s="87"/>
      <c r="C61" s="102"/>
      <c r="D61" s="33" t="s">
        <v>1</v>
      </c>
      <c r="E61" s="33" t="s">
        <v>2</v>
      </c>
      <c r="F61" s="33" t="s">
        <v>3</v>
      </c>
      <c r="G61" s="86"/>
      <c r="H61" s="33" t="s">
        <v>54</v>
      </c>
      <c r="I61" s="33" t="s">
        <v>4</v>
      </c>
      <c r="J61" s="33" t="s">
        <v>5</v>
      </c>
      <c r="K61" s="33" t="s">
        <v>6</v>
      </c>
      <c r="L61" s="33" t="s">
        <v>7</v>
      </c>
      <c r="M61" s="33" t="s">
        <v>8</v>
      </c>
      <c r="N61" s="33" t="s">
        <v>9</v>
      </c>
      <c r="O61" s="33" t="s">
        <v>10</v>
      </c>
    </row>
    <row r="62" spans="1:15" s="29" customFormat="1" ht="18.75">
      <c r="B62" s="52"/>
      <c r="C62" s="52"/>
      <c r="D62" s="52"/>
      <c r="E62" s="52"/>
      <c r="F62" s="52"/>
      <c r="G62" s="53" t="s">
        <v>19</v>
      </c>
      <c r="H62" s="52"/>
      <c r="I62" s="52"/>
      <c r="J62" s="52"/>
      <c r="K62" s="52"/>
      <c r="L62" s="52"/>
      <c r="M62" s="52"/>
      <c r="N62" s="52"/>
      <c r="O62" s="54"/>
    </row>
    <row r="63" spans="1:15" s="29" customFormat="1" ht="25.5">
      <c r="A63" s="27">
        <v>45</v>
      </c>
      <c r="B63" s="28" t="s">
        <v>40</v>
      </c>
      <c r="C63" s="27">
        <v>100</v>
      </c>
      <c r="D63" s="4">
        <f>13.12/10</f>
        <v>1.3119999999999998</v>
      </c>
      <c r="E63" s="4">
        <f>32.49/10</f>
        <v>3.2490000000000001</v>
      </c>
      <c r="F63" s="4">
        <f>6.5</f>
        <v>6.5</v>
      </c>
      <c r="G63" s="4">
        <v>60.4</v>
      </c>
      <c r="H63" s="4">
        <v>0.02</v>
      </c>
      <c r="I63" s="4">
        <v>17.010000000000002</v>
      </c>
      <c r="J63" s="4"/>
      <c r="K63" s="4">
        <v>8.39</v>
      </c>
      <c r="L63" s="4">
        <v>24.97</v>
      </c>
      <c r="M63" s="4">
        <v>28.3</v>
      </c>
      <c r="N63" s="4">
        <v>15.09</v>
      </c>
      <c r="O63" s="4">
        <v>0.47</v>
      </c>
    </row>
    <row r="64" spans="1:15" s="8" customFormat="1" ht="25.5">
      <c r="A64" s="27">
        <v>102</v>
      </c>
      <c r="B64" s="28" t="s">
        <v>45</v>
      </c>
      <c r="C64" s="27">
        <v>250</v>
      </c>
      <c r="D64" s="4">
        <f>0.7 +4.9</f>
        <v>5.6000000000000005</v>
      </c>
      <c r="E64" s="4">
        <f xml:space="preserve"> 0.175+10.66</f>
        <v>10.835000000000001</v>
      </c>
      <c r="F64" s="4">
        <v>19.23</v>
      </c>
      <c r="G64" s="4">
        <v>144.43</v>
      </c>
      <c r="H64" s="4">
        <v>0.15</v>
      </c>
      <c r="I64" s="4">
        <v>5.83</v>
      </c>
      <c r="J64" s="4"/>
      <c r="K64" s="4">
        <v>2.4500000000000002</v>
      </c>
      <c r="L64" s="4">
        <f>(10/1000*175)+41.48</f>
        <v>43.23</v>
      </c>
      <c r="M64" s="4">
        <v>137.78</v>
      </c>
      <c r="N64" s="4">
        <v>38.25</v>
      </c>
      <c r="O64" s="4">
        <v>1.83</v>
      </c>
    </row>
    <row r="65" spans="1:27" s="29" customFormat="1" ht="25.5">
      <c r="A65" s="27">
        <v>288</v>
      </c>
      <c r="B65" s="28" t="s">
        <v>52</v>
      </c>
      <c r="C65" s="27">
        <v>110</v>
      </c>
      <c r="D65" s="4">
        <f>11.73*2</f>
        <v>23.46</v>
      </c>
      <c r="E65" s="4">
        <f>12.91*2</f>
        <v>25.82</v>
      </c>
      <c r="F65" s="4">
        <f>0.25*2</f>
        <v>0.5</v>
      </c>
      <c r="G65" s="4">
        <f>164*2</f>
        <v>328</v>
      </c>
      <c r="H65" s="4">
        <f>0.02*2</f>
        <v>0.04</v>
      </c>
      <c r="I65" s="4">
        <f>11.75*2</f>
        <v>23.5</v>
      </c>
      <c r="J65" s="4">
        <f>48.1*2</f>
        <v>96.2</v>
      </c>
      <c r="K65" s="4">
        <f>0.21*2</f>
        <v>0.42</v>
      </c>
      <c r="L65" s="4">
        <f>28*2</f>
        <v>56</v>
      </c>
      <c r="M65" s="4">
        <f>83.55*2</f>
        <v>167.1</v>
      </c>
      <c r="N65" s="4">
        <f>10.14*2</f>
        <v>20.28</v>
      </c>
      <c r="O65" s="4">
        <f>0.91*2</f>
        <v>1.82</v>
      </c>
    </row>
    <row r="66" spans="1:27" s="29" customFormat="1" ht="15">
      <c r="A66" s="27">
        <v>312</v>
      </c>
      <c r="B66" s="28" t="s">
        <v>13</v>
      </c>
      <c r="C66" s="27">
        <v>150</v>
      </c>
      <c r="D66" s="4">
        <f>20.473/100*15</f>
        <v>3.0709499999999998</v>
      </c>
      <c r="E66" s="4">
        <f>32.01/100/15</f>
        <v>2.1340000000000001E-2</v>
      </c>
      <c r="F66" s="4">
        <f>136.26/100*15</f>
        <v>20.438999999999997</v>
      </c>
      <c r="G66" s="4">
        <f>915/100*15</f>
        <v>137.25</v>
      </c>
      <c r="H66" s="4">
        <f>0.93/100*15</f>
        <v>0.13950000000000001</v>
      </c>
      <c r="I66" s="4">
        <f>121.07/100*15</f>
        <v>18.160499999999999</v>
      </c>
      <c r="J66" s="4"/>
      <c r="K66" s="4">
        <f>1.21/100*15</f>
        <v>0.18149999999999999</v>
      </c>
      <c r="L66" s="4">
        <f>246.5/100*15</f>
        <v>36.974999999999994</v>
      </c>
      <c r="M66" s="4">
        <f>577.3/100*15</f>
        <v>86.594999999999999</v>
      </c>
      <c r="N66" s="4">
        <f>185/100*15</f>
        <v>27.75</v>
      </c>
      <c r="O66" s="4">
        <f>6.73/100*15</f>
        <v>1.0095000000000001</v>
      </c>
    </row>
    <row r="67" spans="1:27" s="29" customFormat="1" ht="15">
      <c r="A67" s="49">
        <v>375</v>
      </c>
      <c r="B67" s="28" t="s">
        <v>57</v>
      </c>
      <c r="C67" s="27">
        <v>200</v>
      </c>
      <c r="D67" s="4">
        <f>2/5</f>
        <v>0.4</v>
      </c>
      <c r="E67" s="4">
        <f>0.51/5</f>
        <v>0.10200000000000001</v>
      </c>
      <c r="F67" s="4">
        <f>0.4/5</f>
        <v>0.08</v>
      </c>
      <c r="G67" s="4">
        <f>32/5</f>
        <v>6.4</v>
      </c>
      <c r="H67" s="4">
        <f>0.01/5</f>
        <v>2E-3</v>
      </c>
      <c r="I67" s="4">
        <f>1/5</f>
        <v>0.2</v>
      </c>
      <c r="J67" s="4">
        <f>0</f>
        <v>0</v>
      </c>
      <c r="K67" s="4">
        <f>0</f>
        <v>0</v>
      </c>
      <c r="L67" s="4">
        <f>98.1/5</f>
        <v>19.619999999999997</v>
      </c>
      <c r="M67" s="4">
        <f>82.4/5</f>
        <v>16.48</v>
      </c>
      <c r="N67" s="4">
        <f>44/5</f>
        <v>8.8000000000000007</v>
      </c>
      <c r="O67" s="4">
        <f>8.2/5</f>
        <v>1.64</v>
      </c>
    </row>
    <row r="68" spans="1:27" s="29" customFormat="1" ht="15">
      <c r="A68" s="13"/>
      <c r="B68" s="28" t="s">
        <v>14</v>
      </c>
      <c r="C68" s="27">
        <v>40</v>
      </c>
      <c r="D68" s="4">
        <v>2.2400000000000002</v>
      </c>
      <c r="E68" s="4">
        <v>0.88</v>
      </c>
      <c r="F68" s="4">
        <v>19.760000000000002</v>
      </c>
      <c r="G68" s="4">
        <v>91.96</v>
      </c>
      <c r="H68" s="4">
        <v>0.04</v>
      </c>
      <c r="I68" s="4"/>
      <c r="J68" s="4"/>
      <c r="K68" s="4">
        <v>0.36</v>
      </c>
      <c r="L68" s="4">
        <v>9.1999999999999993</v>
      </c>
      <c r="M68" s="4">
        <v>42.4</v>
      </c>
      <c r="N68" s="4">
        <v>10</v>
      </c>
      <c r="O68" s="4">
        <v>1.24</v>
      </c>
    </row>
    <row r="69" spans="1:27" s="29" customFormat="1" ht="15">
      <c r="A69" s="13"/>
      <c r="B69" s="28" t="s">
        <v>44</v>
      </c>
      <c r="C69" s="27">
        <v>40</v>
      </c>
      <c r="D69" s="4">
        <v>3.16</v>
      </c>
      <c r="E69" s="4">
        <v>0.4</v>
      </c>
      <c r="F69" s="4">
        <v>19.32</v>
      </c>
      <c r="G69" s="4">
        <v>93.52</v>
      </c>
      <c r="H69" s="4">
        <v>0.04</v>
      </c>
      <c r="I69" s="4"/>
      <c r="J69" s="4"/>
      <c r="K69" s="4">
        <v>0.52</v>
      </c>
      <c r="L69" s="4">
        <v>9.1999999999999993</v>
      </c>
      <c r="M69" s="4">
        <v>34.799999999999997</v>
      </c>
      <c r="N69" s="4">
        <v>13.2</v>
      </c>
      <c r="O69" s="4">
        <v>0.44</v>
      </c>
    </row>
    <row r="70" spans="1:27" s="29" customFormat="1" ht="15">
      <c r="A70" s="19" t="s">
        <v>11</v>
      </c>
      <c r="B70" s="19"/>
      <c r="C70" s="19"/>
      <c r="D70" s="50">
        <f>SUM(D63:D69)</f>
        <v>39.242949999999993</v>
      </c>
      <c r="E70" s="50">
        <f t="shared" ref="E70:G70" si="4">SUM(E63:E69)</f>
        <v>41.307340000000003</v>
      </c>
      <c r="F70" s="50">
        <f t="shared" si="4"/>
        <v>85.829000000000008</v>
      </c>
      <c r="G70" s="50">
        <f t="shared" si="4"/>
        <v>861.96</v>
      </c>
      <c r="H70" s="50"/>
      <c r="I70" s="50"/>
      <c r="J70" s="50"/>
      <c r="K70" s="50"/>
      <c r="L70" s="50"/>
      <c r="M70" s="50"/>
      <c r="N70" s="50"/>
      <c r="O70" s="50"/>
    </row>
    <row r="71" spans="1:27" s="1" customFormat="1" ht="15.75">
      <c r="A71" s="31" t="s">
        <v>26</v>
      </c>
      <c r="B71" s="24" t="s">
        <v>27</v>
      </c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s="1" customFormat="1" ht="15.75">
      <c r="A72" s="31" t="s">
        <v>28</v>
      </c>
      <c r="B72" s="24" t="s">
        <v>43</v>
      </c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s="1" customFormat="1" ht="15.75">
      <c r="A73" s="31" t="s">
        <v>30</v>
      </c>
      <c r="B73" s="6" t="s">
        <v>61</v>
      </c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s="1" customFormat="1" ht="31.5">
      <c r="A74" s="31" t="s">
        <v>31</v>
      </c>
      <c r="B74" s="24" t="s">
        <v>32</v>
      </c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s="1" customFormat="1" ht="15.75">
      <c r="A75" s="85" t="s">
        <v>21</v>
      </c>
      <c r="B75" s="85" t="s">
        <v>18</v>
      </c>
      <c r="C75" s="85" t="s">
        <v>20</v>
      </c>
      <c r="D75" s="82" t="s">
        <v>24</v>
      </c>
      <c r="E75" s="83"/>
      <c r="F75" s="84"/>
      <c r="G75" s="85" t="s">
        <v>0</v>
      </c>
      <c r="H75" s="82" t="s">
        <v>23</v>
      </c>
      <c r="I75" s="83"/>
      <c r="J75" s="83"/>
      <c r="K75" s="84"/>
      <c r="L75" s="82" t="s">
        <v>22</v>
      </c>
      <c r="M75" s="83"/>
      <c r="N75" s="83"/>
      <c r="O75" s="84"/>
    </row>
    <row r="76" spans="1:27" s="1" customFormat="1" ht="15.75">
      <c r="A76" s="86"/>
      <c r="B76" s="87"/>
      <c r="C76" s="102"/>
      <c r="D76" s="33" t="s">
        <v>1</v>
      </c>
      <c r="E76" s="33" t="s">
        <v>2</v>
      </c>
      <c r="F76" s="33" t="s">
        <v>3</v>
      </c>
      <c r="G76" s="86"/>
      <c r="H76" s="33" t="s">
        <v>54</v>
      </c>
      <c r="I76" s="33" t="s">
        <v>4</v>
      </c>
      <c r="J76" s="33" t="s">
        <v>5</v>
      </c>
      <c r="K76" s="33" t="s">
        <v>6</v>
      </c>
      <c r="L76" s="33" t="s">
        <v>7</v>
      </c>
      <c r="M76" s="33" t="s">
        <v>8</v>
      </c>
      <c r="N76" s="33" t="s">
        <v>9</v>
      </c>
      <c r="O76" s="33" t="s">
        <v>10</v>
      </c>
    </row>
    <row r="77" spans="1:27" s="9" customFormat="1" ht="23.25" customHeight="1">
      <c r="A77" s="99" t="s">
        <v>19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1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s="29" customFormat="1" ht="25.5">
      <c r="A78" s="27">
        <v>67</v>
      </c>
      <c r="B78" s="28" t="s">
        <v>47</v>
      </c>
      <c r="C78" s="27">
        <v>100</v>
      </c>
      <c r="D78" s="4">
        <v>1.4</v>
      </c>
      <c r="E78" s="4">
        <v>10.039999999999999</v>
      </c>
      <c r="F78" s="4">
        <v>7.29</v>
      </c>
      <c r="G78" s="4">
        <f>125.1</f>
        <v>125.1</v>
      </c>
      <c r="H78" s="4">
        <f>0.44/10</f>
        <v>4.3999999999999997E-2</v>
      </c>
      <c r="I78" s="4">
        <v>9.6300000000000008</v>
      </c>
      <c r="J78" s="4"/>
      <c r="K78" s="4">
        <v>4.5</v>
      </c>
      <c r="L78" s="4">
        <v>31.23</v>
      </c>
      <c r="M78" s="4">
        <v>43.27</v>
      </c>
      <c r="N78" s="4">
        <v>19.53</v>
      </c>
      <c r="O78" s="4">
        <v>0.83</v>
      </c>
    </row>
    <row r="79" spans="1:27" s="9" customFormat="1" ht="25.5" customHeight="1">
      <c r="A79" s="27">
        <v>112</v>
      </c>
      <c r="B79" s="28" t="s">
        <v>63</v>
      </c>
      <c r="C79" s="27">
        <v>250</v>
      </c>
      <c r="D79" s="4">
        <f>10.27/4+0.8</f>
        <v>3.3674999999999997</v>
      </c>
      <c r="E79" s="4">
        <f>11.12/4+0.2</f>
        <v>2.98</v>
      </c>
      <c r="F79" s="4">
        <f>62.75/4</f>
        <v>15.6875</v>
      </c>
      <c r="G79" s="4">
        <f>436/4+5+30</f>
        <v>144</v>
      </c>
      <c r="H79" s="4">
        <f>0.37/4</f>
        <v>9.2499999999999999E-2</v>
      </c>
      <c r="I79" s="4">
        <f>24.3/4</f>
        <v>6.0750000000000002</v>
      </c>
      <c r="J79" s="4"/>
      <c r="K79" s="4">
        <f>5.8/4</f>
        <v>1.45</v>
      </c>
      <c r="L79" s="4">
        <f>118/4+2</f>
        <v>31.5</v>
      </c>
      <c r="M79" s="4">
        <f>230.9/4</f>
        <v>57.725000000000001</v>
      </c>
      <c r="N79" s="4">
        <f>95.2/4</f>
        <v>23.8</v>
      </c>
      <c r="O79" s="4">
        <f>4/4</f>
        <v>1</v>
      </c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s="29" customFormat="1" ht="25.5">
      <c r="A80" s="27">
        <v>227</v>
      </c>
      <c r="B80" s="28" t="s">
        <v>53</v>
      </c>
      <c r="C80" s="27">
        <v>110</v>
      </c>
      <c r="D80" s="4">
        <f>8.56*2</f>
        <v>17.12</v>
      </c>
      <c r="E80" s="4">
        <f>4.11*2</f>
        <v>8.2200000000000006</v>
      </c>
      <c r="F80" s="4">
        <f>0.46*2</f>
        <v>0.92</v>
      </c>
      <c r="G80" s="4">
        <f>73*2</f>
        <v>146</v>
      </c>
      <c r="H80" s="4">
        <f>0.04*2</f>
        <v>0.08</v>
      </c>
      <c r="I80" s="4">
        <f>0.42*2</f>
        <v>0.84</v>
      </c>
      <c r="J80" s="4">
        <f>24.5*2</f>
        <v>49</v>
      </c>
      <c r="K80" s="4">
        <f>0.24*2</f>
        <v>0.48</v>
      </c>
      <c r="L80" s="4">
        <f>7.73*2</f>
        <v>15.46</v>
      </c>
      <c r="M80" s="4">
        <f>97.84*2</f>
        <v>195.68</v>
      </c>
      <c r="N80" s="4">
        <f>22.92*2</f>
        <v>45.84</v>
      </c>
      <c r="O80" s="4">
        <f>0.45*2</f>
        <v>0.9</v>
      </c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s="29" customFormat="1" ht="15">
      <c r="A81" s="27">
        <v>304</v>
      </c>
      <c r="B81" s="28" t="s">
        <v>15</v>
      </c>
      <c r="C81" s="27">
        <v>150</v>
      </c>
      <c r="D81" s="4">
        <f>24.34/20*3</f>
        <v>3.6510000000000002</v>
      </c>
      <c r="E81" s="4">
        <f>35.83/20*3</f>
        <v>5.3744999999999994</v>
      </c>
      <c r="F81" s="4">
        <f>244.56/20*3</f>
        <v>36.683999999999997</v>
      </c>
      <c r="G81" s="4">
        <f>1398/20*3</f>
        <v>209.70000000000002</v>
      </c>
      <c r="H81" s="4">
        <f>0.17/20*3</f>
        <v>2.5500000000000002E-2</v>
      </c>
      <c r="I81" s="4"/>
      <c r="J81" s="4"/>
      <c r="K81" s="4">
        <f>1.88/20*3</f>
        <v>0.28200000000000003</v>
      </c>
      <c r="L81" s="4">
        <f>9.1/20*3</f>
        <v>1.3649999999999998</v>
      </c>
      <c r="M81" s="4">
        <f>406.3/20*3</f>
        <v>60.945000000000007</v>
      </c>
      <c r="N81" s="4">
        <f>108.9/20*3</f>
        <v>16.335000000000001</v>
      </c>
      <c r="O81" s="4">
        <f>3.51/20*3</f>
        <v>0.52649999999999997</v>
      </c>
    </row>
    <row r="82" spans="1:27" s="29" customFormat="1" ht="15">
      <c r="A82" s="27">
        <v>342</v>
      </c>
      <c r="B82" s="28" t="s">
        <v>58</v>
      </c>
      <c r="C82" s="27">
        <v>200</v>
      </c>
      <c r="D82" s="4">
        <f>0.8/5</f>
        <v>0.16</v>
      </c>
      <c r="E82" s="4">
        <f>0.8/5</f>
        <v>0.16</v>
      </c>
      <c r="F82" s="4">
        <f>139.4/5</f>
        <v>27.880000000000003</v>
      </c>
      <c r="G82" s="4">
        <f>573/5</f>
        <v>114.6</v>
      </c>
      <c r="H82" s="4">
        <f>0.06</f>
        <v>0.06</v>
      </c>
      <c r="I82" s="4">
        <f>4.5/5</f>
        <v>0.9</v>
      </c>
      <c r="J82" s="4">
        <f>0</f>
        <v>0</v>
      </c>
      <c r="K82" s="4">
        <f>0.4/5</f>
        <v>0.08</v>
      </c>
      <c r="L82" s="4">
        <f>70.9/5</f>
        <v>14.180000000000001</v>
      </c>
      <c r="M82" s="4">
        <f>22/5</f>
        <v>4.4000000000000004</v>
      </c>
      <c r="N82" s="4">
        <f>25.7/5</f>
        <v>5.14</v>
      </c>
      <c r="O82" s="4">
        <f>4.76/5</f>
        <v>0.95199999999999996</v>
      </c>
    </row>
    <row r="83" spans="1:27" s="29" customFormat="1" ht="15">
      <c r="A83" s="13"/>
      <c r="B83" s="28" t="s">
        <v>14</v>
      </c>
      <c r="C83" s="27">
        <v>40</v>
      </c>
      <c r="D83" s="4">
        <v>2.2400000000000002</v>
      </c>
      <c r="E83" s="4">
        <v>0.88</v>
      </c>
      <c r="F83" s="4">
        <v>19.760000000000002</v>
      </c>
      <c r="G83" s="4">
        <v>91.96</v>
      </c>
      <c r="H83" s="4">
        <v>0.04</v>
      </c>
      <c r="I83" s="4"/>
      <c r="J83" s="4"/>
      <c r="K83" s="4">
        <v>0.36</v>
      </c>
      <c r="L83" s="4">
        <v>9.1999999999999993</v>
      </c>
      <c r="M83" s="4">
        <v>42.4</v>
      </c>
      <c r="N83" s="4">
        <v>10</v>
      </c>
      <c r="O83" s="4">
        <v>1.24</v>
      </c>
    </row>
    <row r="84" spans="1:27" s="29" customFormat="1" ht="15">
      <c r="A84" s="13"/>
      <c r="B84" s="28" t="s">
        <v>44</v>
      </c>
      <c r="C84" s="27">
        <v>40</v>
      </c>
      <c r="D84" s="4">
        <v>3.16</v>
      </c>
      <c r="E84" s="4">
        <v>0.4</v>
      </c>
      <c r="F84" s="4">
        <v>19.32</v>
      </c>
      <c r="G84" s="4">
        <v>93.52</v>
      </c>
      <c r="H84" s="4">
        <v>0.04</v>
      </c>
      <c r="I84" s="4"/>
      <c r="J84" s="4"/>
      <c r="K84" s="4">
        <v>0.52</v>
      </c>
      <c r="L84" s="4">
        <v>9.1999999999999993</v>
      </c>
      <c r="M84" s="4">
        <v>34.799999999999997</v>
      </c>
      <c r="N84" s="4">
        <v>13.2</v>
      </c>
      <c r="O84" s="4">
        <v>0.44</v>
      </c>
    </row>
    <row r="85" spans="1:27" s="3" customFormat="1" ht="16.149999999999999" customHeight="1">
      <c r="A85" s="19" t="s">
        <v>11</v>
      </c>
      <c r="B85" s="19"/>
      <c r="C85" s="19"/>
      <c r="D85" s="50">
        <f>SUM(D78:D84)</f>
        <v>31.098500000000005</v>
      </c>
      <c r="E85" s="50">
        <f t="shared" ref="E85:G85" si="5">SUM(E78:E84)</f>
        <v>28.054499999999997</v>
      </c>
      <c r="F85" s="50">
        <f t="shared" si="5"/>
        <v>127.54150000000001</v>
      </c>
      <c r="G85" s="50">
        <f t="shared" si="5"/>
        <v>924.88000000000011</v>
      </c>
      <c r="H85" s="50"/>
      <c r="I85" s="50"/>
      <c r="J85" s="50"/>
      <c r="K85" s="50"/>
      <c r="L85" s="50"/>
      <c r="M85" s="50"/>
      <c r="N85" s="50"/>
      <c r="O85" s="50"/>
      <c r="Q85" s="5"/>
      <c r="R85" s="5"/>
      <c r="S85" s="55"/>
      <c r="T85" s="56"/>
      <c r="U85" s="56"/>
      <c r="V85" s="56"/>
      <c r="W85" s="56"/>
      <c r="X85" s="56"/>
      <c r="Y85" s="56"/>
      <c r="Z85" s="56"/>
      <c r="AA85" s="56"/>
    </row>
    <row r="86" spans="1:27" s="1" customFormat="1" ht="15.75">
      <c r="A86" s="31" t="s">
        <v>26</v>
      </c>
      <c r="B86" s="24" t="s">
        <v>33</v>
      </c>
    </row>
    <row r="87" spans="1:27" s="1" customFormat="1" ht="15.75">
      <c r="A87" s="31" t="s">
        <v>28</v>
      </c>
      <c r="B87" s="24" t="s">
        <v>43</v>
      </c>
    </row>
    <row r="88" spans="1:27" s="1" customFormat="1" ht="15.75">
      <c r="A88" s="31" t="s">
        <v>30</v>
      </c>
      <c r="B88" s="6" t="s">
        <v>61</v>
      </c>
    </row>
    <row r="89" spans="1:27" s="1" customFormat="1" ht="31.5">
      <c r="A89" s="31" t="s">
        <v>31</v>
      </c>
      <c r="B89" s="24" t="s">
        <v>32</v>
      </c>
    </row>
    <row r="90" spans="1:27" s="1" customFormat="1" ht="15.75">
      <c r="A90" s="85" t="s">
        <v>21</v>
      </c>
      <c r="B90" s="85" t="s">
        <v>18</v>
      </c>
      <c r="C90" s="85" t="s">
        <v>20</v>
      </c>
      <c r="D90" s="82" t="s">
        <v>24</v>
      </c>
      <c r="E90" s="83"/>
      <c r="F90" s="84"/>
      <c r="G90" s="85" t="s">
        <v>0</v>
      </c>
      <c r="H90" s="82" t="s">
        <v>23</v>
      </c>
      <c r="I90" s="83"/>
      <c r="J90" s="83"/>
      <c r="K90" s="84"/>
      <c r="L90" s="82" t="s">
        <v>22</v>
      </c>
      <c r="M90" s="83"/>
      <c r="N90" s="83"/>
      <c r="O90" s="84"/>
    </row>
    <row r="91" spans="1:27" s="1" customFormat="1" ht="15.75">
      <c r="A91" s="86"/>
      <c r="B91" s="87"/>
      <c r="C91" s="102"/>
      <c r="D91" s="33" t="s">
        <v>1</v>
      </c>
      <c r="E91" s="33" t="s">
        <v>2</v>
      </c>
      <c r="F91" s="33" t="s">
        <v>3</v>
      </c>
      <c r="G91" s="86"/>
      <c r="H91" s="33" t="s">
        <v>54</v>
      </c>
      <c r="I91" s="33" t="s">
        <v>4</v>
      </c>
      <c r="J91" s="33" t="s">
        <v>5</v>
      </c>
      <c r="K91" s="33" t="s">
        <v>6</v>
      </c>
      <c r="L91" s="33" t="s">
        <v>7</v>
      </c>
      <c r="M91" s="33" t="s">
        <v>8</v>
      </c>
      <c r="N91" s="33" t="s">
        <v>9</v>
      </c>
      <c r="O91" s="33" t="s">
        <v>10</v>
      </c>
    </row>
    <row r="92" spans="1:27" s="9" customFormat="1" ht="26.25" customHeight="1">
      <c r="A92" s="100" t="s">
        <v>19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1"/>
    </row>
    <row r="93" spans="1:27" s="23" customFormat="1" ht="25.5">
      <c r="A93" s="30">
        <v>131</v>
      </c>
      <c r="B93" s="11" t="s">
        <v>65</v>
      </c>
      <c r="C93" s="30">
        <v>25</v>
      </c>
      <c r="D93" s="22">
        <v>0.81</v>
      </c>
      <c r="E93" s="22">
        <v>0.93</v>
      </c>
      <c r="F93" s="22">
        <v>1.5</v>
      </c>
      <c r="G93" s="22">
        <v>17.75</v>
      </c>
      <c r="H93" s="22">
        <v>0.02</v>
      </c>
      <c r="I93" s="22">
        <v>2.73</v>
      </c>
      <c r="J93" s="22">
        <v>4.76</v>
      </c>
      <c r="K93" s="22">
        <v>0.06</v>
      </c>
      <c r="L93" s="22">
        <v>6.67</v>
      </c>
      <c r="M93" s="22">
        <v>16.46</v>
      </c>
      <c r="N93" s="22">
        <v>5.66</v>
      </c>
      <c r="O93" s="22">
        <v>0.2</v>
      </c>
    </row>
    <row r="94" spans="1:27" s="29" customFormat="1" ht="38.25">
      <c r="A94" s="27">
        <v>88</v>
      </c>
      <c r="B94" s="28" t="s">
        <v>48</v>
      </c>
      <c r="C94" s="27">
        <v>250</v>
      </c>
      <c r="D94" s="4">
        <f>(7.06/4)+0.8</f>
        <v>2.5649999999999999</v>
      </c>
      <c r="E94" s="4">
        <f>(19.8/4)+0.2</f>
        <v>5.15</v>
      </c>
      <c r="F94" s="4">
        <f>31.61/4</f>
        <v>7.9024999999999999</v>
      </c>
      <c r="G94" s="4">
        <f>(359/4)+5+30</f>
        <v>124.75</v>
      </c>
      <c r="H94" s="4">
        <f>0.23/4</f>
        <v>5.7500000000000002E-2</v>
      </c>
      <c r="I94" s="4">
        <f>63.1/4</f>
        <v>15.775</v>
      </c>
      <c r="J94" s="4"/>
      <c r="K94" s="4">
        <f>9.4/4</f>
        <v>2.35</v>
      </c>
      <c r="L94" s="4">
        <f>(197/4)+2</f>
        <v>51.25</v>
      </c>
      <c r="M94" s="4">
        <f>196/4</f>
        <v>49</v>
      </c>
      <c r="N94" s="4">
        <f>88.5/4</f>
        <v>22.125</v>
      </c>
      <c r="O94" s="4">
        <f>3.3/4</f>
        <v>0.82499999999999996</v>
      </c>
    </row>
    <row r="95" spans="1:27" s="8" customFormat="1">
      <c r="A95" s="27">
        <v>309</v>
      </c>
      <c r="B95" s="28" t="s">
        <v>12</v>
      </c>
      <c r="C95" s="27">
        <v>150</v>
      </c>
      <c r="D95" s="4">
        <f>36.78/100*15</f>
        <v>5.5170000000000003</v>
      </c>
      <c r="E95" s="4">
        <f>30.1/100*15</f>
        <v>4.5149999999999997</v>
      </c>
      <c r="F95" s="4">
        <f>176.3/100*15</f>
        <v>26.445</v>
      </c>
      <c r="G95" s="4">
        <f>1123/100*15</f>
        <v>168.45000000000002</v>
      </c>
      <c r="H95" s="4">
        <f>0.37/100*15</f>
        <v>5.5500000000000001E-2</v>
      </c>
      <c r="I95" s="4"/>
      <c r="J95" s="4"/>
      <c r="K95" s="4">
        <f>6.46/100*15</f>
        <v>0.96900000000000008</v>
      </c>
      <c r="L95" s="4">
        <f>32.4/100*15</f>
        <v>4.8600000000000003</v>
      </c>
      <c r="M95" s="4">
        <f>247.8/100*15</f>
        <v>37.17</v>
      </c>
      <c r="N95" s="4">
        <f>140.8/100*15</f>
        <v>21.12</v>
      </c>
      <c r="O95" s="4">
        <f>7.37/100*15</f>
        <v>1.1054999999999999</v>
      </c>
    </row>
    <row r="96" spans="1:27" s="29" customFormat="1" ht="15">
      <c r="A96" s="27">
        <v>246</v>
      </c>
      <c r="B96" s="28" t="s">
        <v>66</v>
      </c>
      <c r="C96" s="27">
        <v>100</v>
      </c>
      <c r="D96" s="4">
        <v>13.36</v>
      </c>
      <c r="E96" s="4">
        <v>14.08</v>
      </c>
      <c r="F96" s="4">
        <v>0.85</v>
      </c>
      <c r="G96" s="4">
        <v>164</v>
      </c>
      <c r="H96" s="4">
        <v>0.01</v>
      </c>
      <c r="I96" s="4">
        <v>1.2</v>
      </c>
      <c r="J96" s="4"/>
      <c r="K96" s="4"/>
      <c r="L96" s="4">
        <v>23.6</v>
      </c>
      <c r="M96" s="4">
        <v>117.03</v>
      </c>
      <c r="N96" s="4">
        <v>20.27</v>
      </c>
      <c r="O96" s="4">
        <v>2</v>
      </c>
    </row>
    <row r="97" spans="1:17" s="29" customFormat="1" ht="15">
      <c r="A97" s="27">
        <v>389</v>
      </c>
      <c r="B97" s="28" t="s">
        <v>59</v>
      </c>
      <c r="C97" s="16">
        <v>200</v>
      </c>
      <c r="D97" s="17">
        <f>1</f>
        <v>1</v>
      </c>
      <c r="E97" s="16">
        <v>0</v>
      </c>
      <c r="F97" s="17">
        <f>101/5</f>
        <v>20.2</v>
      </c>
      <c r="G97" s="16">
        <f>424/5</f>
        <v>84.8</v>
      </c>
      <c r="H97" s="17">
        <f>0.11/5</f>
        <v>2.1999999999999999E-2</v>
      </c>
      <c r="I97" s="16">
        <f>30/5</f>
        <v>6</v>
      </c>
      <c r="J97" s="17">
        <v>0</v>
      </c>
      <c r="K97" s="16">
        <f>1/5</f>
        <v>0.2</v>
      </c>
      <c r="L97" s="17">
        <f>70/5</f>
        <v>14</v>
      </c>
      <c r="M97" s="16">
        <f>70/5</f>
        <v>14</v>
      </c>
      <c r="N97" s="17">
        <f>40/5</f>
        <v>8</v>
      </c>
      <c r="O97" s="18">
        <f>14/5</f>
        <v>2.8</v>
      </c>
    </row>
    <row r="98" spans="1:17" s="29" customFormat="1" ht="15">
      <c r="A98" s="13"/>
      <c r="B98" s="28" t="s">
        <v>14</v>
      </c>
      <c r="C98" s="27">
        <v>40</v>
      </c>
      <c r="D98" s="4">
        <v>2.2400000000000002</v>
      </c>
      <c r="E98" s="4">
        <v>0.88</v>
      </c>
      <c r="F98" s="4">
        <v>19.760000000000002</v>
      </c>
      <c r="G98" s="4">
        <v>91.96</v>
      </c>
      <c r="H98" s="4">
        <v>0.04</v>
      </c>
      <c r="I98" s="4"/>
      <c r="J98" s="4"/>
      <c r="K98" s="4">
        <v>0.36</v>
      </c>
      <c r="L98" s="4">
        <v>9.1999999999999993</v>
      </c>
      <c r="M98" s="4">
        <v>42.4</v>
      </c>
      <c r="N98" s="4">
        <v>10</v>
      </c>
      <c r="O98" s="4">
        <v>1.24</v>
      </c>
    </row>
    <row r="99" spans="1:17" s="29" customFormat="1" ht="15">
      <c r="A99" s="13"/>
      <c r="B99" s="28" t="s">
        <v>44</v>
      </c>
      <c r="C99" s="27">
        <v>40</v>
      </c>
      <c r="D99" s="4">
        <v>3.16</v>
      </c>
      <c r="E99" s="4">
        <v>0.4</v>
      </c>
      <c r="F99" s="4">
        <v>19.32</v>
      </c>
      <c r="G99" s="4">
        <v>93.52</v>
      </c>
      <c r="H99" s="4">
        <v>0.04</v>
      </c>
      <c r="I99" s="4"/>
      <c r="J99" s="4"/>
      <c r="K99" s="4">
        <v>0.52</v>
      </c>
      <c r="L99" s="4">
        <v>9.1999999999999993</v>
      </c>
      <c r="M99" s="4">
        <v>34.799999999999997</v>
      </c>
      <c r="N99" s="4">
        <v>13.2</v>
      </c>
      <c r="O99" s="4">
        <v>0.44</v>
      </c>
    </row>
    <row r="100" spans="1:17" s="9" customFormat="1" ht="15.75" customHeight="1">
      <c r="A100" s="19" t="s">
        <v>11</v>
      </c>
      <c r="B100" s="19"/>
      <c r="C100" s="19"/>
      <c r="D100" s="50">
        <f t="shared" ref="D100:F100" si="6">SUM(D93:D99)</f>
        <v>28.651999999999997</v>
      </c>
      <c r="E100" s="50">
        <f t="shared" si="6"/>
        <v>25.954999999999995</v>
      </c>
      <c r="F100" s="50">
        <f t="shared" si="6"/>
        <v>95.977499999999992</v>
      </c>
      <c r="G100" s="50">
        <f>SUM(G93:G99)</f>
        <v>745.23</v>
      </c>
      <c r="H100" s="50"/>
      <c r="I100" s="50"/>
      <c r="J100" s="50"/>
      <c r="K100" s="50"/>
      <c r="L100" s="50"/>
      <c r="M100" s="50"/>
      <c r="N100" s="50"/>
      <c r="O100" s="50"/>
    </row>
    <row r="101" spans="1:17" s="1" customFormat="1" ht="15.75">
      <c r="A101" s="31" t="s">
        <v>26</v>
      </c>
      <c r="B101" s="24" t="s">
        <v>34</v>
      </c>
    </row>
    <row r="102" spans="1:17" s="1" customFormat="1" ht="15.75">
      <c r="A102" s="31" t="s">
        <v>28</v>
      </c>
      <c r="B102" s="24" t="s">
        <v>43</v>
      </c>
    </row>
    <row r="103" spans="1:17" s="1" customFormat="1" ht="15.75">
      <c r="A103" s="31" t="s">
        <v>30</v>
      </c>
      <c r="B103" s="6" t="s">
        <v>61</v>
      </c>
    </row>
    <row r="104" spans="1:17" s="1" customFormat="1" ht="31.5">
      <c r="A104" s="31" t="s">
        <v>31</v>
      </c>
      <c r="B104" s="24" t="s">
        <v>32</v>
      </c>
    </row>
    <row r="105" spans="1:17" s="1" customFormat="1" ht="15.75">
      <c r="A105" s="85" t="s">
        <v>21</v>
      </c>
      <c r="B105" s="85" t="s">
        <v>18</v>
      </c>
      <c r="C105" s="85" t="s">
        <v>20</v>
      </c>
      <c r="D105" s="82" t="s">
        <v>24</v>
      </c>
      <c r="E105" s="83"/>
      <c r="F105" s="84"/>
      <c r="G105" s="85" t="s">
        <v>0</v>
      </c>
      <c r="H105" s="82" t="s">
        <v>23</v>
      </c>
      <c r="I105" s="83"/>
      <c r="J105" s="83"/>
      <c r="K105" s="84"/>
      <c r="L105" s="82" t="s">
        <v>22</v>
      </c>
      <c r="M105" s="83"/>
      <c r="N105" s="83"/>
      <c r="O105" s="84"/>
    </row>
    <row r="106" spans="1:17" s="1" customFormat="1" ht="15.75">
      <c r="A106" s="86"/>
      <c r="B106" s="87"/>
      <c r="C106" s="102"/>
      <c r="D106" s="33" t="s">
        <v>1</v>
      </c>
      <c r="E106" s="33" t="s">
        <v>2</v>
      </c>
      <c r="F106" s="33" t="s">
        <v>3</v>
      </c>
      <c r="G106" s="86"/>
      <c r="H106" s="33" t="s">
        <v>54</v>
      </c>
      <c r="I106" s="33" t="s">
        <v>4</v>
      </c>
      <c r="J106" s="33" t="s">
        <v>5</v>
      </c>
      <c r="K106" s="33" t="s">
        <v>6</v>
      </c>
      <c r="L106" s="33" t="s">
        <v>7</v>
      </c>
      <c r="M106" s="33" t="s">
        <v>8</v>
      </c>
      <c r="N106" s="33" t="s">
        <v>9</v>
      </c>
      <c r="O106" s="33" t="s">
        <v>10</v>
      </c>
    </row>
    <row r="107" spans="1:17" s="9" customFormat="1" ht="16.149999999999999" customHeight="1">
      <c r="A107" s="98" t="s">
        <v>19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14"/>
      <c r="Q107" s="14"/>
    </row>
    <row r="108" spans="1:17" s="29" customFormat="1" ht="25.5">
      <c r="A108" s="27">
        <v>45</v>
      </c>
      <c r="B108" s="28" t="s">
        <v>40</v>
      </c>
      <c r="C108" s="27">
        <v>100</v>
      </c>
      <c r="D108" s="4">
        <f>13.12/10</f>
        <v>1.3119999999999998</v>
      </c>
      <c r="E108" s="4">
        <f>32.49/10</f>
        <v>3.2490000000000001</v>
      </c>
      <c r="F108" s="4">
        <f>6.5</f>
        <v>6.5</v>
      </c>
      <c r="G108" s="4">
        <v>60.4</v>
      </c>
      <c r="H108" s="4">
        <v>0.02</v>
      </c>
      <c r="I108" s="4">
        <v>17.010000000000002</v>
      </c>
      <c r="J108" s="4"/>
      <c r="K108" s="4">
        <v>8.39</v>
      </c>
      <c r="L108" s="4">
        <v>24.97</v>
      </c>
      <c r="M108" s="4">
        <v>28.3</v>
      </c>
      <c r="N108" s="4">
        <v>15.09</v>
      </c>
      <c r="O108" s="4">
        <v>0.47</v>
      </c>
    </row>
    <row r="109" spans="1:17" s="29" customFormat="1" ht="25.5">
      <c r="A109" s="27">
        <v>82</v>
      </c>
      <c r="B109" s="28" t="s">
        <v>46</v>
      </c>
      <c r="C109" s="27">
        <v>250</v>
      </c>
      <c r="D109" s="4">
        <f>(7.21/4)+0.8</f>
        <v>2.6025</v>
      </c>
      <c r="E109" s="4">
        <f>(19.68/4)+0.2</f>
        <v>5.12</v>
      </c>
      <c r="F109" s="4">
        <f>43.73/4</f>
        <v>10.932499999999999</v>
      </c>
      <c r="G109" s="4">
        <f>(415/4)+5+30</f>
        <v>138.75</v>
      </c>
      <c r="H109" s="4">
        <f>0.2/4</f>
        <v>0.05</v>
      </c>
      <c r="I109" s="4">
        <f>42.7/4</f>
        <v>10.675000000000001</v>
      </c>
      <c r="J109" s="4"/>
      <c r="K109" s="4">
        <f>9.6/4</f>
        <v>2.4</v>
      </c>
      <c r="L109" s="4">
        <f>(198.9/4)+2</f>
        <v>51.725000000000001</v>
      </c>
      <c r="M109" s="4">
        <f>218.4/4</f>
        <v>54.6</v>
      </c>
      <c r="N109" s="4">
        <f>104.5/4</f>
        <v>26.125</v>
      </c>
      <c r="O109" s="4">
        <f>4.9/4</f>
        <v>1.2250000000000001</v>
      </c>
    </row>
    <row r="110" spans="1:17" s="29" customFormat="1" ht="15">
      <c r="A110" s="27">
        <v>302</v>
      </c>
      <c r="B110" s="28" t="s">
        <v>17</v>
      </c>
      <c r="C110" s="27">
        <v>150</v>
      </c>
      <c r="D110" s="4">
        <f>57.32/100*15</f>
        <v>8.5980000000000008</v>
      </c>
      <c r="E110" s="4">
        <f>40.62/100*15</f>
        <v>6.0929999999999991</v>
      </c>
      <c r="F110" s="4">
        <f>257.61/100*15</f>
        <v>38.641500000000008</v>
      </c>
      <c r="G110" s="4">
        <f>1625/100*15</f>
        <v>243.75</v>
      </c>
      <c r="H110" s="4">
        <f>1.39/100*15</f>
        <v>0.20849999999999999</v>
      </c>
      <c r="I110" s="4"/>
      <c r="J110" s="4"/>
      <c r="K110" s="4">
        <f>4.05/100*15</f>
        <v>0.60750000000000004</v>
      </c>
      <c r="L110" s="4">
        <f>98.8/100*15</f>
        <v>14.82</v>
      </c>
      <c r="M110" s="4">
        <f>1359.5/100*15</f>
        <v>203.92500000000001</v>
      </c>
      <c r="N110" s="4">
        <f>905.5/100*15</f>
        <v>135.82499999999999</v>
      </c>
      <c r="O110" s="4">
        <f>30.4/100*15</f>
        <v>4.5599999999999996</v>
      </c>
    </row>
    <row r="111" spans="1:17" s="29" customFormat="1" ht="25.5">
      <c r="A111" s="27">
        <v>288</v>
      </c>
      <c r="B111" s="28" t="s">
        <v>52</v>
      </c>
      <c r="C111" s="27">
        <v>110</v>
      </c>
      <c r="D111" s="4">
        <f>11.73*2</f>
        <v>23.46</v>
      </c>
      <c r="E111" s="4">
        <f>12.91*2</f>
        <v>25.82</v>
      </c>
      <c r="F111" s="4">
        <f>0.25*2</f>
        <v>0.5</v>
      </c>
      <c r="G111" s="4">
        <f>164*2</f>
        <v>328</v>
      </c>
      <c r="H111" s="4">
        <f>0.02*2</f>
        <v>0.04</v>
      </c>
      <c r="I111" s="4">
        <f>11.75*2</f>
        <v>23.5</v>
      </c>
      <c r="J111" s="4">
        <f>48.1*2</f>
        <v>96.2</v>
      </c>
      <c r="K111" s="4">
        <f>0.21*2</f>
        <v>0.42</v>
      </c>
      <c r="L111" s="4">
        <f>28*2</f>
        <v>56</v>
      </c>
      <c r="M111" s="4">
        <f>83.55*2</f>
        <v>167.1</v>
      </c>
      <c r="N111" s="4">
        <f>10.14*2</f>
        <v>20.28</v>
      </c>
      <c r="O111" s="4">
        <f>0.91*2</f>
        <v>1.82</v>
      </c>
    </row>
    <row r="112" spans="1:17" s="8" customFormat="1">
      <c r="A112" s="27">
        <v>348</v>
      </c>
      <c r="B112" s="28" t="s">
        <v>38</v>
      </c>
      <c r="C112" s="27">
        <v>200</v>
      </c>
      <c r="D112" s="4">
        <f>3.9/5</f>
        <v>0.78</v>
      </c>
      <c r="E112" s="4">
        <f>0.23/5</f>
        <v>4.5999999999999999E-2</v>
      </c>
      <c r="F112" s="4">
        <f>138.15/5</f>
        <v>27.630000000000003</v>
      </c>
      <c r="G112" s="4">
        <f>574/5</f>
        <v>114.8</v>
      </c>
      <c r="H112" s="4">
        <f>0.08/5</f>
        <v>1.6E-2</v>
      </c>
      <c r="I112" s="4">
        <f>3/5</f>
        <v>0.6</v>
      </c>
      <c r="J112" s="4"/>
      <c r="K112" s="4">
        <f>4.12/5</f>
        <v>0.82400000000000007</v>
      </c>
      <c r="L112" s="4">
        <f>161.6/5</f>
        <v>32.32</v>
      </c>
      <c r="M112" s="4">
        <f>109.5/5</f>
        <v>21.9</v>
      </c>
      <c r="N112" s="4">
        <f>87.8/5</f>
        <v>17.559999999999999</v>
      </c>
      <c r="O112" s="4">
        <f>2.4/5</f>
        <v>0.48</v>
      </c>
    </row>
    <row r="113" spans="1:15" s="29" customFormat="1" ht="15">
      <c r="A113" s="13"/>
      <c r="B113" s="28" t="s">
        <v>14</v>
      </c>
      <c r="C113" s="27">
        <v>40</v>
      </c>
      <c r="D113" s="4">
        <v>2.2400000000000002</v>
      </c>
      <c r="E113" s="4">
        <v>0.88</v>
      </c>
      <c r="F113" s="4">
        <v>19.760000000000002</v>
      </c>
      <c r="G113" s="4">
        <v>91.96</v>
      </c>
      <c r="H113" s="4">
        <v>0.04</v>
      </c>
      <c r="I113" s="4"/>
      <c r="J113" s="4"/>
      <c r="K113" s="4">
        <v>0.36</v>
      </c>
      <c r="L113" s="4">
        <v>9.1999999999999993</v>
      </c>
      <c r="M113" s="4">
        <v>42.4</v>
      </c>
      <c r="N113" s="4">
        <v>10</v>
      </c>
      <c r="O113" s="4">
        <v>1.24</v>
      </c>
    </row>
    <row r="114" spans="1:15" s="29" customFormat="1" ht="15">
      <c r="A114" s="13"/>
      <c r="B114" s="28" t="s">
        <v>44</v>
      </c>
      <c r="C114" s="27">
        <v>40</v>
      </c>
      <c r="D114" s="4">
        <v>3.16</v>
      </c>
      <c r="E114" s="4">
        <v>0.4</v>
      </c>
      <c r="F114" s="4">
        <v>19.32</v>
      </c>
      <c r="G114" s="4">
        <v>93.52</v>
      </c>
      <c r="H114" s="4">
        <v>0.04</v>
      </c>
      <c r="I114" s="4"/>
      <c r="J114" s="4"/>
      <c r="K114" s="4">
        <v>0.52</v>
      </c>
      <c r="L114" s="4">
        <v>9.1999999999999993</v>
      </c>
      <c r="M114" s="4">
        <v>34.799999999999997</v>
      </c>
      <c r="N114" s="4">
        <v>13.2</v>
      </c>
      <c r="O114" s="4">
        <v>0.44</v>
      </c>
    </row>
    <row r="115" spans="1:15" s="9" customFormat="1" ht="16.149999999999999" customHeight="1">
      <c r="A115" s="19" t="s">
        <v>11</v>
      </c>
      <c r="B115" s="19"/>
      <c r="C115" s="19"/>
      <c r="D115" s="50">
        <f>SUM(D108:D114)</f>
        <v>42.152500000000003</v>
      </c>
      <c r="E115" s="50">
        <f t="shared" ref="E115:G115" si="7">SUM(E108:E114)</f>
        <v>41.607999999999997</v>
      </c>
      <c r="F115" s="50">
        <f t="shared" si="7"/>
        <v>123.28400000000002</v>
      </c>
      <c r="G115" s="50">
        <f t="shared" si="7"/>
        <v>1071.18</v>
      </c>
      <c r="H115" s="50"/>
      <c r="I115" s="50"/>
      <c r="J115" s="50"/>
      <c r="K115" s="50"/>
      <c r="L115" s="50"/>
      <c r="M115" s="50"/>
      <c r="N115" s="50"/>
      <c r="O115" s="50"/>
    </row>
    <row r="116" spans="1:15" s="1" customFormat="1" ht="15.75">
      <c r="A116" s="31" t="s">
        <v>26</v>
      </c>
      <c r="B116" s="24" t="s">
        <v>35</v>
      </c>
    </row>
    <row r="117" spans="1:15" s="1" customFormat="1" ht="15.75">
      <c r="A117" s="31" t="s">
        <v>28</v>
      </c>
      <c r="B117" s="24" t="s">
        <v>43</v>
      </c>
    </row>
    <row r="118" spans="1:15" s="1" customFormat="1" ht="15.75">
      <c r="A118" s="31" t="s">
        <v>30</v>
      </c>
      <c r="B118" s="6" t="s">
        <v>61</v>
      </c>
    </row>
    <row r="119" spans="1:15" s="1" customFormat="1" ht="31.5">
      <c r="A119" s="31" t="s">
        <v>31</v>
      </c>
      <c r="B119" s="24" t="s">
        <v>32</v>
      </c>
    </row>
    <row r="120" spans="1:15" s="1" customFormat="1" ht="15.75">
      <c r="A120" s="85" t="s">
        <v>21</v>
      </c>
      <c r="B120" s="85" t="s">
        <v>18</v>
      </c>
      <c r="C120" s="85" t="s">
        <v>20</v>
      </c>
      <c r="D120" s="82" t="s">
        <v>24</v>
      </c>
      <c r="E120" s="83"/>
      <c r="F120" s="84"/>
      <c r="G120" s="85" t="s">
        <v>0</v>
      </c>
      <c r="H120" s="82" t="s">
        <v>23</v>
      </c>
      <c r="I120" s="83"/>
      <c r="J120" s="83"/>
      <c r="K120" s="84"/>
      <c r="L120" s="82" t="s">
        <v>22</v>
      </c>
      <c r="M120" s="83"/>
      <c r="N120" s="83"/>
      <c r="O120" s="84"/>
    </row>
    <row r="121" spans="1:15" s="1" customFormat="1" ht="15.75">
      <c r="A121" s="86"/>
      <c r="B121" s="87"/>
      <c r="C121" s="102"/>
      <c r="D121" s="33" t="s">
        <v>1</v>
      </c>
      <c r="E121" s="33" t="s">
        <v>2</v>
      </c>
      <c r="F121" s="33" t="s">
        <v>3</v>
      </c>
      <c r="G121" s="86"/>
      <c r="H121" s="33" t="s">
        <v>54</v>
      </c>
      <c r="I121" s="33" t="s">
        <v>4</v>
      </c>
      <c r="J121" s="33" t="s">
        <v>5</v>
      </c>
      <c r="K121" s="33" t="s">
        <v>6</v>
      </c>
      <c r="L121" s="33" t="s">
        <v>7</v>
      </c>
      <c r="M121" s="33" t="s">
        <v>8</v>
      </c>
      <c r="N121" s="33" t="s">
        <v>9</v>
      </c>
      <c r="O121" s="33" t="s">
        <v>10</v>
      </c>
    </row>
    <row r="122" spans="1:15" s="9" customFormat="1" ht="16.149999999999999" customHeight="1">
      <c r="A122" s="98" t="s">
        <v>25</v>
      </c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</row>
    <row r="123" spans="1:15" s="29" customFormat="1" ht="25.5">
      <c r="A123" s="27">
        <v>54</v>
      </c>
      <c r="B123" s="28" t="s">
        <v>42</v>
      </c>
      <c r="C123" s="27">
        <v>100</v>
      </c>
      <c r="D123" s="4">
        <f>1.9</f>
        <v>1.9</v>
      </c>
      <c r="E123" s="4">
        <v>6.08</v>
      </c>
      <c r="F123" s="4">
        <v>11.2</v>
      </c>
      <c r="G123" s="4">
        <v>103.9</v>
      </c>
      <c r="H123" s="4">
        <v>0.02</v>
      </c>
      <c r="I123" s="4">
        <v>6.44</v>
      </c>
      <c r="J123" s="4"/>
      <c r="K123" s="4">
        <v>10.6</v>
      </c>
      <c r="L123" s="4">
        <v>29.27</v>
      </c>
      <c r="M123" s="4">
        <v>31.8</v>
      </c>
      <c r="N123" s="4">
        <v>16.829999999999998</v>
      </c>
      <c r="O123" s="4">
        <v>1.48</v>
      </c>
    </row>
    <row r="124" spans="1:15" s="9" customFormat="1" ht="25.5">
      <c r="A124" s="27">
        <v>98</v>
      </c>
      <c r="B124" s="28" t="s">
        <v>64</v>
      </c>
      <c r="C124" s="27">
        <v>250</v>
      </c>
      <c r="D124" s="4">
        <f>5.93/4+0.8</f>
        <v>2.2824999999999998</v>
      </c>
      <c r="E124" s="4">
        <f>19.67/4+0.2</f>
        <v>5.1175000000000006</v>
      </c>
      <c r="F124" s="4">
        <f>24.36/4</f>
        <v>6.09</v>
      </c>
      <c r="G124" s="4">
        <f>305/4+5+30</f>
        <v>111.25</v>
      </c>
      <c r="H124" s="4">
        <f>0.17/4</f>
        <v>4.2500000000000003E-2</v>
      </c>
      <c r="I124" s="4">
        <f>39.5/4</f>
        <v>9.875</v>
      </c>
      <c r="J124" s="4"/>
      <c r="K124" s="4">
        <f>9.2/4</f>
        <v>2.2999999999999998</v>
      </c>
      <c r="L124" s="4">
        <f>143.5/4+2</f>
        <v>37.875</v>
      </c>
      <c r="M124" s="4">
        <f>134.3/4</f>
        <v>33.575000000000003</v>
      </c>
      <c r="N124" s="4">
        <f>56.7/4</f>
        <v>14.175000000000001</v>
      </c>
      <c r="O124" s="4">
        <f>2.3/4</f>
        <v>0.57499999999999996</v>
      </c>
    </row>
    <row r="125" spans="1:15" s="29" customFormat="1" ht="25.5">
      <c r="A125" s="27">
        <v>229</v>
      </c>
      <c r="B125" s="28" t="s">
        <v>41</v>
      </c>
      <c r="C125" s="34">
        <v>100</v>
      </c>
      <c r="D125" s="4">
        <v>9.75</v>
      </c>
      <c r="E125" s="4">
        <v>4.95</v>
      </c>
      <c r="F125" s="4">
        <v>3.8</v>
      </c>
      <c r="G125" s="4">
        <v>105</v>
      </c>
      <c r="H125" s="4">
        <v>0.05</v>
      </c>
      <c r="I125" s="4">
        <v>3.73</v>
      </c>
      <c r="J125" s="4">
        <v>5.82</v>
      </c>
      <c r="K125" s="4">
        <v>2.52</v>
      </c>
      <c r="L125" s="4">
        <v>39.07</v>
      </c>
      <c r="M125" s="4">
        <v>162.19</v>
      </c>
      <c r="N125" s="4">
        <v>48.53</v>
      </c>
      <c r="O125" s="4">
        <v>0.85</v>
      </c>
    </row>
    <row r="126" spans="1:15" s="29" customFormat="1" ht="15">
      <c r="A126" s="27">
        <v>139</v>
      </c>
      <c r="B126" s="28" t="s">
        <v>56</v>
      </c>
      <c r="C126" s="27">
        <v>150</v>
      </c>
      <c r="D126" s="4">
        <v>2.04</v>
      </c>
      <c r="E126" s="4">
        <v>3.68</v>
      </c>
      <c r="F126" s="4">
        <v>7.89</v>
      </c>
      <c r="G126" s="4">
        <v>77</v>
      </c>
      <c r="H126" s="4">
        <v>0.04</v>
      </c>
      <c r="I126" s="4">
        <v>17.079999999999998</v>
      </c>
      <c r="J126" s="4">
        <v>0</v>
      </c>
      <c r="K126" s="4">
        <v>1.95</v>
      </c>
      <c r="L126" s="4">
        <v>58.75</v>
      </c>
      <c r="M126" s="4">
        <v>40.69</v>
      </c>
      <c r="N126" s="4">
        <v>20.85</v>
      </c>
      <c r="O126" s="4">
        <v>0.83</v>
      </c>
    </row>
    <row r="127" spans="1:15" s="29" customFormat="1" ht="15">
      <c r="A127" s="13"/>
      <c r="B127" s="28" t="s">
        <v>14</v>
      </c>
      <c r="C127" s="27">
        <v>40</v>
      </c>
      <c r="D127" s="4">
        <v>2.2400000000000002</v>
      </c>
      <c r="E127" s="4">
        <v>0.88</v>
      </c>
      <c r="F127" s="4">
        <v>19.760000000000002</v>
      </c>
      <c r="G127" s="4">
        <v>91.96</v>
      </c>
      <c r="H127" s="4">
        <v>0.04</v>
      </c>
      <c r="I127" s="4"/>
      <c r="J127" s="4"/>
      <c r="K127" s="4">
        <v>0.36</v>
      </c>
      <c r="L127" s="4">
        <v>9.1999999999999993</v>
      </c>
      <c r="M127" s="4">
        <v>42.4</v>
      </c>
      <c r="N127" s="4">
        <v>10</v>
      </c>
      <c r="O127" s="4">
        <v>1.24</v>
      </c>
    </row>
    <row r="128" spans="1:15" s="29" customFormat="1" ht="15">
      <c r="A128" s="27">
        <v>389</v>
      </c>
      <c r="B128" s="28" t="s">
        <v>55</v>
      </c>
      <c r="C128" s="16">
        <v>200</v>
      </c>
      <c r="D128" s="17">
        <f>1</f>
        <v>1</v>
      </c>
      <c r="E128" s="16">
        <v>0</v>
      </c>
      <c r="F128" s="17">
        <f>101/5</f>
        <v>20.2</v>
      </c>
      <c r="G128" s="16">
        <f>424/5</f>
        <v>84.8</v>
      </c>
      <c r="H128" s="17">
        <f>0.11/5</f>
        <v>2.1999999999999999E-2</v>
      </c>
      <c r="I128" s="16">
        <f>30/5</f>
        <v>6</v>
      </c>
      <c r="J128" s="17">
        <v>0</v>
      </c>
      <c r="K128" s="16">
        <f>1/5</f>
        <v>0.2</v>
      </c>
      <c r="L128" s="17">
        <f>70/5</f>
        <v>14</v>
      </c>
      <c r="M128" s="16">
        <f>70/5</f>
        <v>14</v>
      </c>
      <c r="N128" s="17">
        <f>40/5</f>
        <v>8</v>
      </c>
      <c r="O128" s="18">
        <f>14/5</f>
        <v>2.8</v>
      </c>
    </row>
    <row r="129" spans="1:27" s="29" customFormat="1" ht="15">
      <c r="A129" s="13"/>
      <c r="B129" s="28" t="s">
        <v>44</v>
      </c>
      <c r="C129" s="27">
        <v>40</v>
      </c>
      <c r="D129" s="4">
        <v>3.16</v>
      </c>
      <c r="E129" s="4">
        <v>0.4</v>
      </c>
      <c r="F129" s="4">
        <v>19.32</v>
      </c>
      <c r="G129" s="4">
        <v>93.52</v>
      </c>
      <c r="H129" s="4">
        <v>0.04</v>
      </c>
      <c r="I129" s="4"/>
      <c r="J129" s="4"/>
      <c r="K129" s="4">
        <v>0.52</v>
      </c>
      <c r="L129" s="4">
        <v>9.1999999999999993</v>
      </c>
      <c r="M129" s="4">
        <v>34.799999999999997</v>
      </c>
      <c r="N129" s="4">
        <v>13.2</v>
      </c>
      <c r="O129" s="4">
        <v>0.44</v>
      </c>
    </row>
    <row r="130" spans="1:27" s="3" customFormat="1" ht="16.149999999999999" customHeight="1">
      <c r="A130" s="19" t="s">
        <v>11</v>
      </c>
      <c r="B130" s="19"/>
      <c r="C130" s="19"/>
      <c r="D130" s="50">
        <f t="shared" ref="D130:F130" si="8">SUM(D123:D129)</f>
        <v>22.372499999999999</v>
      </c>
      <c r="E130" s="50">
        <f t="shared" si="8"/>
        <v>21.107499999999998</v>
      </c>
      <c r="F130" s="50">
        <f t="shared" si="8"/>
        <v>88.259999999999991</v>
      </c>
      <c r="G130" s="50">
        <f>SUM(G123:G129)</f>
        <v>667.43</v>
      </c>
      <c r="H130" s="50"/>
      <c r="I130" s="50"/>
      <c r="J130" s="50"/>
      <c r="K130" s="50"/>
      <c r="L130" s="50"/>
      <c r="M130" s="50"/>
      <c r="N130" s="50"/>
      <c r="O130" s="50"/>
    </row>
    <row r="131" spans="1:27" s="1" customFormat="1" ht="15.75">
      <c r="A131" s="31" t="s">
        <v>26</v>
      </c>
      <c r="B131" s="24" t="s">
        <v>37</v>
      </c>
    </row>
    <row r="132" spans="1:27" s="1" customFormat="1" ht="22.5" customHeight="1">
      <c r="A132" s="31" t="s">
        <v>28</v>
      </c>
      <c r="B132" s="24" t="s">
        <v>43</v>
      </c>
    </row>
    <row r="133" spans="1:27" s="1" customFormat="1" ht="15.75">
      <c r="A133" s="31" t="s">
        <v>30</v>
      </c>
      <c r="B133" s="6" t="s">
        <v>61</v>
      </c>
    </row>
    <row r="134" spans="1:27" s="1" customFormat="1" ht="47.25" customHeight="1">
      <c r="A134" s="31" t="s">
        <v>31</v>
      </c>
      <c r="B134" s="24" t="s">
        <v>32</v>
      </c>
    </row>
    <row r="135" spans="1:27" s="1" customFormat="1" ht="15.75">
      <c r="A135" s="85" t="s">
        <v>21</v>
      </c>
      <c r="B135" s="85" t="s">
        <v>18</v>
      </c>
      <c r="C135" s="85" t="s">
        <v>20</v>
      </c>
      <c r="D135" s="82" t="s">
        <v>24</v>
      </c>
      <c r="E135" s="83"/>
      <c r="F135" s="84"/>
      <c r="G135" s="85" t="s">
        <v>0</v>
      </c>
      <c r="H135" s="82" t="s">
        <v>23</v>
      </c>
      <c r="I135" s="83"/>
      <c r="J135" s="83"/>
      <c r="K135" s="84"/>
      <c r="L135" s="82" t="s">
        <v>22</v>
      </c>
      <c r="M135" s="83"/>
      <c r="N135" s="83"/>
      <c r="O135" s="84"/>
    </row>
    <row r="136" spans="1:27" s="1" customFormat="1" ht="15.75">
      <c r="A136" s="86"/>
      <c r="B136" s="87"/>
      <c r="C136" s="102"/>
      <c r="D136" s="33" t="s">
        <v>1</v>
      </c>
      <c r="E136" s="33" t="s">
        <v>2</v>
      </c>
      <c r="F136" s="33" t="s">
        <v>3</v>
      </c>
      <c r="G136" s="86"/>
      <c r="H136" s="33" t="s">
        <v>54</v>
      </c>
      <c r="I136" s="33" t="s">
        <v>4</v>
      </c>
      <c r="J136" s="33" t="s">
        <v>5</v>
      </c>
      <c r="K136" s="33" t="s">
        <v>6</v>
      </c>
      <c r="L136" s="33" t="s">
        <v>7</v>
      </c>
      <c r="M136" s="33" t="s">
        <v>8</v>
      </c>
      <c r="N136" s="33" t="s">
        <v>9</v>
      </c>
      <c r="O136" s="33" t="s">
        <v>10</v>
      </c>
    </row>
    <row r="137" spans="1:27" s="9" customFormat="1" ht="18.75">
      <c r="A137" s="98" t="s">
        <v>19</v>
      </c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15"/>
    </row>
    <row r="138" spans="1:27" s="29" customFormat="1" ht="25.5">
      <c r="A138" s="27">
        <v>67</v>
      </c>
      <c r="B138" s="28" t="s">
        <v>47</v>
      </c>
      <c r="C138" s="27">
        <v>100</v>
      </c>
      <c r="D138" s="4">
        <v>1.4</v>
      </c>
      <c r="E138" s="4">
        <v>10.039999999999999</v>
      </c>
      <c r="F138" s="4">
        <v>7.29</v>
      </c>
      <c r="G138" s="4">
        <f>125.1</f>
        <v>125.1</v>
      </c>
      <c r="H138" s="4">
        <f>0.44/10</f>
        <v>4.3999999999999997E-2</v>
      </c>
      <c r="I138" s="4">
        <v>9.6300000000000008</v>
      </c>
      <c r="J138" s="4"/>
      <c r="K138" s="4">
        <v>4.5</v>
      </c>
      <c r="L138" s="4">
        <v>31.23</v>
      </c>
      <c r="M138" s="4">
        <v>43.27</v>
      </c>
      <c r="N138" s="4">
        <v>19.53</v>
      </c>
      <c r="O138" s="4">
        <v>0.83</v>
      </c>
    </row>
    <row r="139" spans="1:27" s="9" customFormat="1" ht="25.5" customHeight="1">
      <c r="A139" s="27">
        <v>112</v>
      </c>
      <c r="B139" s="28" t="s">
        <v>63</v>
      </c>
      <c r="C139" s="27">
        <v>250</v>
      </c>
      <c r="D139" s="4">
        <f>10.27/4+0.8</f>
        <v>3.3674999999999997</v>
      </c>
      <c r="E139" s="4">
        <f>11.12/4+0.2</f>
        <v>2.98</v>
      </c>
      <c r="F139" s="4">
        <f>62.75/4</f>
        <v>15.6875</v>
      </c>
      <c r="G139" s="4">
        <f>436/4+5+30</f>
        <v>144</v>
      </c>
      <c r="H139" s="4">
        <f>0.37/4</f>
        <v>9.2499999999999999E-2</v>
      </c>
      <c r="I139" s="4">
        <f>24.3/4</f>
        <v>6.0750000000000002</v>
      </c>
      <c r="J139" s="4"/>
      <c r="K139" s="4">
        <f>5.8/4</f>
        <v>1.45</v>
      </c>
      <c r="L139" s="4">
        <f>118/4+2</f>
        <v>31.5</v>
      </c>
      <c r="M139" s="4">
        <f>230.9/4</f>
        <v>57.725000000000001</v>
      </c>
      <c r="N139" s="4">
        <f>95.2/4</f>
        <v>23.8</v>
      </c>
      <c r="O139" s="4">
        <f>4/4</f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s="29" customFormat="1" ht="25.5">
      <c r="A140" s="27">
        <v>288</v>
      </c>
      <c r="B140" s="28" t="s">
        <v>52</v>
      </c>
      <c r="C140" s="27">
        <v>110</v>
      </c>
      <c r="D140" s="4">
        <f>11.73*2</f>
        <v>23.46</v>
      </c>
      <c r="E140" s="4">
        <f>12.91*2</f>
        <v>25.82</v>
      </c>
      <c r="F140" s="4">
        <f>0.25*2</f>
        <v>0.5</v>
      </c>
      <c r="G140" s="4">
        <f>164*2</f>
        <v>328</v>
      </c>
      <c r="H140" s="4">
        <f>0.02*2</f>
        <v>0.04</v>
      </c>
      <c r="I140" s="4">
        <f>11.75*2</f>
        <v>23.5</v>
      </c>
      <c r="J140" s="4">
        <f>48.1*2</f>
        <v>96.2</v>
      </c>
      <c r="K140" s="4">
        <f>0.21*2</f>
        <v>0.42</v>
      </c>
      <c r="L140" s="4">
        <f>28*2</f>
        <v>56</v>
      </c>
      <c r="M140" s="4">
        <f>83.55*2</f>
        <v>167.1</v>
      </c>
      <c r="N140" s="4">
        <f>10.14*2</f>
        <v>20.28</v>
      </c>
      <c r="O140" s="4">
        <f>0.91*2</f>
        <v>1.82</v>
      </c>
    </row>
    <row r="141" spans="1:27" s="29" customFormat="1" ht="15">
      <c r="A141" s="27">
        <v>312</v>
      </c>
      <c r="B141" s="28" t="s">
        <v>13</v>
      </c>
      <c r="C141" s="27">
        <v>150</v>
      </c>
      <c r="D141" s="4">
        <f>20.473/100*15</f>
        <v>3.0709499999999998</v>
      </c>
      <c r="E141" s="4">
        <f>32.01/100/15</f>
        <v>2.1340000000000001E-2</v>
      </c>
      <c r="F141" s="4">
        <f>136.26/100*15</f>
        <v>20.438999999999997</v>
      </c>
      <c r="G141" s="4">
        <f>915/100*15</f>
        <v>137.25</v>
      </c>
      <c r="H141" s="4">
        <f>0.93/100*15</f>
        <v>0.13950000000000001</v>
      </c>
      <c r="I141" s="4">
        <f>121.07/100*15</f>
        <v>18.160499999999999</v>
      </c>
      <c r="J141" s="4"/>
      <c r="K141" s="4">
        <f>1.21/100*15</f>
        <v>0.18149999999999999</v>
      </c>
      <c r="L141" s="4">
        <f>246.5/100*15</f>
        <v>36.974999999999994</v>
      </c>
      <c r="M141" s="4">
        <f>577.3/100*15</f>
        <v>86.594999999999999</v>
      </c>
      <c r="N141" s="4">
        <f>185/100*15</f>
        <v>27.75</v>
      </c>
      <c r="O141" s="4">
        <f>6.73/100*15</f>
        <v>1.0095000000000001</v>
      </c>
    </row>
    <row r="142" spans="1:27" s="29" customFormat="1" ht="15">
      <c r="A142" s="27">
        <v>388</v>
      </c>
      <c r="B142" s="28" t="s">
        <v>36</v>
      </c>
      <c r="C142" s="27">
        <v>200</v>
      </c>
      <c r="D142" s="4">
        <f>3.39/5</f>
        <v>0.67800000000000005</v>
      </c>
      <c r="E142" s="4">
        <f>1.39/5</f>
        <v>0.27799999999999997</v>
      </c>
      <c r="F142" s="4">
        <f>103.8/5</f>
        <v>20.759999999999998</v>
      </c>
      <c r="G142" s="4">
        <f>441/5</f>
        <v>88.2</v>
      </c>
      <c r="H142" s="4">
        <f>0.06/5</f>
        <v>1.2E-2</v>
      </c>
      <c r="I142" s="4">
        <f>500/5</f>
        <v>100</v>
      </c>
      <c r="J142" s="4"/>
      <c r="K142" s="4">
        <f>3.8/5</f>
        <v>0.76</v>
      </c>
      <c r="L142" s="4">
        <f>106.7/5</f>
        <v>21.34</v>
      </c>
      <c r="M142" s="4">
        <f>17.2/5</f>
        <v>3.44</v>
      </c>
      <c r="N142" s="4">
        <f>17.2/5</f>
        <v>3.44</v>
      </c>
      <c r="O142" s="4">
        <f>3.17/5</f>
        <v>0.63400000000000001</v>
      </c>
    </row>
    <row r="143" spans="1:27" s="29" customFormat="1" ht="15">
      <c r="A143" s="13"/>
      <c r="B143" s="28" t="s">
        <v>14</v>
      </c>
      <c r="C143" s="27">
        <v>40</v>
      </c>
      <c r="D143" s="4">
        <v>2.2400000000000002</v>
      </c>
      <c r="E143" s="4">
        <v>0.88</v>
      </c>
      <c r="F143" s="4">
        <v>19.760000000000002</v>
      </c>
      <c r="G143" s="4">
        <v>91.96</v>
      </c>
      <c r="H143" s="4">
        <v>0.04</v>
      </c>
      <c r="I143" s="4"/>
      <c r="J143" s="4"/>
      <c r="K143" s="4">
        <v>0.36</v>
      </c>
      <c r="L143" s="4">
        <v>9.1999999999999993</v>
      </c>
      <c r="M143" s="4">
        <v>42.4</v>
      </c>
      <c r="N143" s="4">
        <v>10</v>
      </c>
      <c r="O143" s="4">
        <v>1.24</v>
      </c>
    </row>
    <row r="144" spans="1:27" s="29" customFormat="1" ht="15">
      <c r="A144" s="13"/>
      <c r="B144" s="28" t="s">
        <v>44</v>
      </c>
      <c r="C144" s="27">
        <v>40</v>
      </c>
      <c r="D144" s="4">
        <v>3.16</v>
      </c>
      <c r="E144" s="4">
        <v>0.4</v>
      </c>
      <c r="F144" s="4">
        <v>19.32</v>
      </c>
      <c r="G144" s="4">
        <v>93.52</v>
      </c>
      <c r="H144" s="4">
        <v>0.04</v>
      </c>
      <c r="I144" s="4"/>
      <c r="J144" s="4"/>
      <c r="K144" s="4">
        <v>0.52</v>
      </c>
      <c r="L144" s="4">
        <v>9.1999999999999993</v>
      </c>
      <c r="M144" s="4">
        <v>34.799999999999997</v>
      </c>
      <c r="N144" s="4">
        <v>13.2</v>
      </c>
      <c r="O144" s="4">
        <v>0.44</v>
      </c>
    </row>
    <row r="145" spans="1:15" s="9" customFormat="1" ht="16.149999999999999" customHeight="1">
      <c r="A145" s="19" t="s">
        <v>11</v>
      </c>
      <c r="B145" s="19"/>
      <c r="C145" s="19"/>
      <c r="D145" s="50">
        <f t="shared" ref="D145:F145" si="9">SUM(D138:D144)</f>
        <v>37.376450000000006</v>
      </c>
      <c r="E145" s="50">
        <f t="shared" si="9"/>
        <v>40.419340000000005</v>
      </c>
      <c r="F145" s="50">
        <f t="shared" si="9"/>
        <v>103.75650000000002</v>
      </c>
      <c r="G145" s="50">
        <f>SUM(G138:G144)</f>
        <v>1008.0300000000001</v>
      </c>
      <c r="H145" s="50"/>
      <c r="I145" s="50"/>
      <c r="J145" s="50"/>
      <c r="K145" s="50"/>
      <c r="L145" s="50"/>
      <c r="M145" s="50"/>
      <c r="N145" s="50"/>
      <c r="O145" s="50"/>
    </row>
    <row r="146" spans="1:15">
      <c r="A146" s="25" t="s">
        <v>30</v>
      </c>
      <c r="B146" s="6" t="s">
        <v>61</v>
      </c>
    </row>
    <row r="147" spans="1:15" ht="25.5">
      <c r="A147" s="25" t="s">
        <v>31</v>
      </c>
      <c r="B147" s="6" t="s">
        <v>32</v>
      </c>
    </row>
    <row r="148" spans="1:15" ht="15.75" customHeight="1">
      <c r="A148" s="78" t="s">
        <v>21</v>
      </c>
      <c r="B148" s="78" t="s">
        <v>18</v>
      </c>
      <c r="C148" s="78" t="s">
        <v>20</v>
      </c>
      <c r="D148" s="75" t="s">
        <v>24</v>
      </c>
      <c r="E148" s="76"/>
      <c r="F148" s="77"/>
      <c r="G148" s="78" t="s">
        <v>0</v>
      </c>
      <c r="H148" s="75" t="s">
        <v>23</v>
      </c>
      <c r="I148" s="76"/>
      <c r="J148" s="76"/>
      <c r="K148" s="77"/>
      <c r="L148" s="75" t="s">
        <v>22</v>
      </c>
      <c r="M148" s="76"/>
      <c r="N148" s="76"/>
      <c r="O148" s="77"/>
    </row>
    <row r="149" spans="1:15" ht="24" customHeight="1">
      <c r="A149" s="79"/>
      <c r="B149" s="81"/>
      <c r="C149" s="80"/>
      <c r="D149" s="26" t="s">
        <v>1</v>
      </c>
      <c r="E149" s="26" t="s">
        <v>2</v>
      </c>
      <c r="F149" s="26" t="s">
        <v>3</v>
      </c>
      <c r="G149" s="79"/>
      <c r="H149" s="26" t="s">
        <v>39</v>
      </c>
      <c r="I149" s="26" t="s">
        <v>4</v>
      </c>
      <c r="J149" s="26" t="s">
        <v>5</v>
      </c>
      <c r="K149" s="26" t="s">
        <v>6</v>
      </c>
      <c r="L149" s="26" t="s">
        <v>7</v>
      </c>
      <c r="M149" s="26" t="s">
        <v>8</v>
      </c>
      <c r="N149" s="26" t="s">
        <v>9</v>
      </c>
      <c r="O149" s="26" t="s">
        <v>10</v>
      </c>
    </row>
    <row r="150" spans="1:15" s="8" customFormat="1" ht="15" customHeight="1">
      <c r="A150" s="73" t="s">
        <v>19</v>
      </c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4"/>
    </row>
    <row r="151" spans="1:15" s="23" customFormat="1" ht="25.5">
      <c r="A151" s="30">
        <v>131</v>
      </c>
      <c r="B151" s="11" t="s">
        <v>65</v>
      </c>
      <c r="C151" s="30">
        <v>25</v>
      </c>
      <c r="D151" s="22">
        <v>0.81</v>
      </c>
      <c r="E151" s="22">
        <v>0.93</v>
      </c>
      <c r="F151" s="22">
        <v>1.5</v>
      </c>
      <c r="G151" s="22">
        <v>17.75</v>
      </c>
      <c r="H151" s="22">
        <v>0.02</v>
      </c>
      <c r="I151" s="22">
        <v>2.73</v>
      </c>
      <c r="J151" s="22">
        <v>4.76</v>
      </c>
      <c r="K151" s="22">
        <v>0.06</v>
      </c>
      <c r="L151" s="22">
        <v>6.67</v>
      </c>
      <c r="M151" s="22">
        <v>16.46</v>
      </c>
      <c r="N151" s="22">
        <v>5.66</v>
      </c>
      <c r="O151" s="22">
        <v>0.2</v>
      </c>
    </row>
    <row r="152" spans="1:15" s="29" customFormat="1" ht="38.25">
      <c r="A152" s="27">
        <v>96</v>
      </c>
      <c r="B152" s="28" t="s">
        <v>50</v>
      </c>
      <c r="C152" s="27">
        <v>250</v>
      </c>
      <c r="D152" s="4">
        <f>8.07/4+0.8</f>
        <v>2.8174999999999999</v>
      </c>
      <c r="E152" s="4">
        <f>(20.36/4)+0.2</f>
        <v>5.29</v>
      </c>
      <c r="F152" s="4">
        <f>47.92/4</f>
        <v>11.98</v>
      </c>
      <c r="G152" s="4">
        <f>429/4+5+30</f>
        <v>142.25</v>
      </c>
      <c r="H152" s="4">
        <f>0.37/4</f>
        <v>9.2499999999999999E-2</v>
      </c>
      <c r="I152" s="4">
        <f>33.5/4</f>
        <v>8.375</v>
      </c>
      <c r="J152" s="4"/>
      <c r="K152" s="4">
        <f>9.4/4</f>
        <v>2.35</v>
      </c>
      <c r="L152" s="4">
        <f>116.6/4+2</f>
        <v>31.15</v>
      </c>
      <c r="M152" s="4">
        <f>226.9/4</f>
        <v>56.725000000000001</v>
      </c>
      <c r="N152" s="4">
        <f>96.7/4</f>
        <v>24.175000000000001</v>
      </c>
      <c r="O152" s="4">
        <f>3.7/4</f>
        <v>0.92500000000000004</v>
      </c>
    </row>
    <row r="153" spans="1:15" s="8" customFormat="1">
      <c r="A153" s="27">
        <v>309</v>
      </c>
      <c r="B153" s="28" t="s">
        <v>12</v>
      </c>
      <c r="C153" s="27">
        <v>150</v>
      </c>
      <c r="D153" s="4">
        <f>36.78/100*15</f>
        <v>5.5170000000000003</v>
      </c>
      <c r="E153" s="4">
        <f>30.1/100*15</f>
        <v>4.5149999999999997</v>
      </c>
      <c r="F153" s="4">
        <f>176.3/100*15</f>
        <v>26.445</v>
      </c>
      <c r="G153" s="4">
        <f>1123/100*15</f>
        <v>168.45000000000002</v>
      </c>
      <c r="H153" s="4">
        <f>0.37/100*15</f>
        <v>5.5500000000000001E-2</v>
      </c>
      <c r="I153" s="4"/>
      <c r="J153" s="4"/>
      <c r="K153" s="4">
        <f>6.46/100*15</f>
        <v>0.96900000000000008</v>
      </c>
      <c r="L153" s="4">
        <f>32.4/100*15</f>
        <v>4.8600000000000003</v>
      </c>
      <c r="M153" s="4">
        <f>247.8/100*15</f>
        <v>37.17</v>
      </c>
      <c r="N153" s="4">
        <f>140.8/100*15</f>
        <v>21.12</v>
      </c>
      <c r="O153" s="4">
        <f>7.37/100*15</f>
        <v>1.1054999999999999</v>
      </c>
    </row>
    <row r="154" spans="1:15" s="29" customFormat="1" ht="15">
      <c r="A154" s="27">
        <v>246</v>
      </c>
      <c r="B154" s="28" t="s">
        <v>66</v>
      </c>
      <c r="C154" s="27">
        <v>100</v>
      </c>
      <c r="D154" s="4">
        <v>13.36</v>
      </c>
      <c r="E154" s="4">
        <v>14.08</v>
      </c>
      <c r="F154" s="4">
        <v>0.85</v>
      </c>
      <c r="G154" s="4">
        <v>164</v>
      </c>
      <c r="H154" s="4">
        <v>0.01</v>
      </c>
      <c r="I154" s="4">
        <v>1.2</v>
      </c>
      <c r="J154" s="4"/>
      <c r="K154" s="4"/>
      <c r="L154" s="4">
        <v>23.6</v>
      </c>
      <c r="M154" s="4">
        <v>117.03</v>
      </c>
      <c r="N154" s="4">
        <v>20.27</v>
      </c>
      <c r="O154" s="4">
        <v>2</v>
      </c>
    </row>
    <row r="155" spans="1:15" s="8" customFormat="1">
      <c r="A155" s="27">
        <v>348</v>
      </c>
      <c r="B155" s="28" t="s">
        <v>38</v>
      </c>
      <c r="C155" s="27">
        <v>200</v>
      </c>
      <c r="D155" s="4">
        <f>3.9/5</f>
        <v>0.78</v>
      </c>
      <c r="E155" s="4">
        <f>0.23/5</f>
        <v>4.5999999999999999E-2</v>
      </c>
      <c r="F155" s="4">
        <f>138.15/5</f>
        <v>27.630000000000003</v>
      </c>
      <c r="G155" s="4">
        <f>574/5</f>
        <v>114.8</v>
      </c>
      <c r="H155" s="4">
        <f>0.08/5</f>
        <v>1.6E-2</v>
      </c>
      <c r="I155" s="4">
        <f>3/5</f>
        <v>0.6</v>
      </c>
      <c r="J155" s="4"/>
      <c r="K155" s="4">
        <f>4.12/5</f>
        <v>0.82400000000000007</v>
      </c>
      <c r="L155" s="4">
        <f>161.6/5</f>
        <v>32.32</v>
      </c>
      <c r="M155" s="4">
        <f>109.5/5</f>
        <v>21.9</v>
      </c>
      <c r="N155" s="4">
        <f>87.8/5</f>
        <v>17.559999999999999</v>
      </c>
      <c r="O155" s="4">
        <f>2.4/5</f>
        <v>0.48</v>
      </c>
    </row>
    <row r="156" spans="1:15" s="8" customFormat="1">
      <c r="A156" s="13"/>
      <c r="B156" s="28" t="s">
        <v>14</v>
      </c>
      <c r="C156" s="27">
        <v>40</v>
      </c>
      <c r="D156" s="4">
        <v>2.2400000000000002</v>
      </c>
      <c r="E156" s="4">
        <v>0.88</v>
      </c>
      <c r="F156" s="4">
        <v>19.760000000000002</v>
      </c>
      <c r="G156" s="4">
        <v>91.96</v>
      </c>
      <c r="H156" s="4">
        <v>0.04</v>
      </c>
      <c r="I156" s="4"/>
      <c r="J156" s="4"/>
      <c r="K156" s="4">
        <v>0.36</v>
      </c>
      <c r="L156" s="4">
        <v>9.1999999999999993</v>
      </c>
      <c r="M156" s="4">
        <v>42.4</v>
      </c>
      <c r="N156" s="4">
        <v>10</v>
      </c>
      <c r="O156" s="4">
        <v>1.24</v>
      </c>
    </row>
    <row r="157" spans="1:15" s="29" customFormat="1" ht="15">
      <c r="A157" s="13"/>
      <c r="B157" s="28" t="s">
        <v>44</v>
      </c>
      <c r="C157" s="27">
        <v>40</v>
      </c>
      <c r="D157" s="4">
        <v>3.16</v>
      </c>
      <c r="E157" s="4">
        <v>0.4</v>
      </c>
      <c r="F157" s="4">
        <v>19.32</v>
      </c>
      <c r="G157" s="4">
        <v>93.52</v>
      </c>
      <c r="H157" s="4">
        <v>0.04</v>
      </c>
      <c r="I157" s="4"/>
      <c r="J157" s="4"/>
      <c r="K157" s="4">
        <v>0.52</v>
      </c>
      <c r="L157" s="4">
        <v>9.1999999999999993</v>
      </c>
      <c r="M157" s="4">
        <v>34.799999999999997</v>
      </c>
      <c r="N157" s="4">
        <v>13.2</v>
      </c>
      <c r="O157" s="4">
        <v>0.44</v>
      </c>
    </row>
    <row r="158" spans="1:15" s="8" customFormat="1">
      <c r="A158" s="19" t="s">
        <v>11</v>
      </c>
      <c r="B158" s="19"/>
      <c r="C158" s="19"/>
      <c r="D158" s="20">
        <f t="shared" ref="D158:F158" si="10">SUM(D151:D157)</f>
        <v>28.684500000000003</v>
      </c>
      <c r="E158" s="20">
        <f t="shared" si="10"/>
        <v>26.140999999999995</v>
      </c>
      <c r="F158" s="20">
        <f t="shared" si="10"/>
        <v>107.48500000000001</v>
      </c>
      <c r="G158" s="20">
        <f>SUM(G151:G157)</f>
        <v>792.73</v>
      </c>
      <c r="H158" s="20"/>
      <c r="I158" s="20"/>
      <c r="J158" s="20"/>
      <c r="K158" s="20"/>
      <c r="L158" s="20"/>
      <c r="M158" s="20"/>
      <c r="N158" s="20"/>
      <c r="O158" s="20"/>
    </row>
    <row r="159" spans="1:15" s="1" customFormat="1" ht="15.75">
      <c r="A159" s="31" t="s">
        <v>26</v>
      </c>
      <c r="B159" s="24" t="s">
        <v>33</v>
      </c>
      <c r="C159" s="32"/>
    </row>
    <row r="160" spans="1:15" s="1" customFormat="1" ht="15.75">
      <c r="A160" s="31" t="s">
        <v>28</v>
      </c>
      <c r="B160" s="24" t="s">
        <v>67</v>
      </c>
      <c r="C160" s="32"/>
    </row>
    <row r="161" spans="1:19" s="1" customFormat="1" ht="15.75">
      <c r="A161" s="31" t="s">
        <v>30</v>
      </c>
      <c r="B161" s="6" t="s">
        <v>61</v>
      </c>
      <c r="C161" s="32"/>
    </row>
    <row r="162" spans="1:19" s="1" customFormat="1" ht="31.5">
      <c r="A162" s="31" t="s">
        <v>31</v>
      </c>
      <c r="B162" s="24" t="s">
        <v>32</v>
      </c>
      <c r="C162" s="32"/>
    </row>
    <row r="163" spans="1:19" s="1" customFormat="1" ht="15.75">
      <c r="A163" s="85" t="s">
        <v>21</v>
      </c>
      <c r="B163" s="85" t="s">
        <v>18</v>
      </c>
      <c r="C163" s="88" t="s">
        <v>20</v>
      </c>
      <c r="D163" s="82" t="s">
        <v>24</v>
      </c>
      <c r="E163" s="83"/>
      <c r="F163" s="84"/>
      <c r="G163" s="85" t="s">
        <v>0</v>
      </c>
      <c r="H163" s="82" t="s">
        <v>23</v>
      </c>
      <c r="I163" s="83"/>
      <c r="J163" s="83"/>
      <c r="K163" s="84"/>
      <c r="L163" s="82" t="s">
        <v>22</v>
      </c>
      <c r="M163" s="83"/>
      <c r="N163" s="83"/>
      <c r="O163" s="84"/>
    </row>
    <row r="164" spans="1:19" s="1" customFormat="1" ht="15.75">
      <c r="A164" s="86"/>
      <c r="B164" s="87"/>
      <c r="C164" s="89"/>
      <c r="D164" s="33" t="s">
        <v>1</v>
      </c>
      <c r="E164" s="33" t="s">
        <v>2</v>
      </c>
      <c r="F164" s="33" t="s">
        <v>3</v>
      </c>
      <c r="G164" s="86"/>
      <c r="H164" s="33" t="s">
        <v>54</v>
      </c>
      <c r="I164" s="33" t="s">
        <v>4</v>
      </c>
      <c r="J164" s="33" t="s">
        <v>5</v>
      </c>
      <c r="K164" s="33" t="s">
        <v>6</v>
      </c>
      <c r="L164" s="33" t="s">
        <v>7</v>
      </c>
      <c r="M164" s="33" t="s">
        <v>8</v>
      </c>
      <c r="N164" s="33" t="s">
        <v>9</v>
      </c>
      <c r="O164" s="33" t="s">
        <v>10</v>
      </c>
    </row>
    <row r="165" spans="1:19" s="1" customFormat="1" ht="18.75">
      <c r="A165" s="90" t="s">
        <v>19</v>
      </c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36"/>
      <c r="Q165" s="36"/>
      <c r="R165" s="36"/>
      <c r="S165" s="36"/>
    </row>
    <row r="166" spans="1:19" s="29" customFormat="1" ht="25.5">
      <c r="A166" s="27">
        <v>67</v>
      </c>
      <c r="B166" s="28" t="s">
        <v>47</v>
      </c>
      <c r="C166" s="34">
        <v>100</v>
      </c>
      <c r="D166" s="4">
        <v>1.4</v>
      </c>
      <c r="E166" s="4">
        <v>10.039999999999999</v>
      </c>
      <c r="F166" s="4">
        <v>7.29</v>
      </c>
      <c r="G166" s="4">
        <f>125.1</f>
        <v>125.1</v>
      </c>
      <c r="H166" s="4">
        <f>0.44/10</f>
        <v>4.3999999999999997E-2</v>
      </c>
      <c r="I166" s="4">
        <v>9.6300000000000008</v>
      </c>
      <c r="J166" s="4"/>
      <c r="K166" s="4">
        <v>4.5</v>
      </c>
      <c r="L166" s="4">
        <v>31.23</v>
      </c>
      <c r="M166" s="4">
        <v>43.27</v>
      </c>
      <c r="N166" s="4">
        <v>19.53</v>
      </c>
      <c r="O166" s="37">
        <v>0.83</v>
      </c>
      <c r="P166" s="35"/>
      <c r="Q166" s="35"/>
      <c r="R166" s="35"/>
      <c r="S166" s="35"/>
    </row>
    <row r="167" spans="1:19" s="1" customFormat="1" ht="25.5">
      <c r="A167" s="30">
        <v>82</v>
      </c>
      <c r="B167" s="11" t="s">
        <v>62</v>
      </c>
      <c r="C167" s="38">
        <v>250</v>
      </c>
      <c r="D167" s="2">
        <f>(7.21/4)+0.8</f>
        <v>2.6025</v>
      </c>
      <c r="E167" s="2">
        <f>(19.68/4)+0.2</f>
        <v>5.12</v>
      </c>
      <c r="F167" s="2">
        <f>43.73/4</f>
        <v>10.932499999999999</v>
      </c>
      <c r="G167" s="2">
        <f>(415/4)+5+30</f>
        <v>138.75</v>
      </c>
      <c r="H167" s="2">
        <f>0.2/4</f>
        <v>0.05</v>
      </c>
      <c r="I167" s="2">
        <f>42.7/4</f>
        <v>10.675000000000001</v>
      </c>
      <c r="J167" s="2"/>
      <c r="K167" s="2">
        <f>9.6/4</f>
        <v>2.4</v>
      </c>
      <c r="L167" s="2">
        <f>(198.9/4)+2</f>
        <v>51.725000000000001</v>
      </c>
      <c r="M167" s="2">
        <f>218.4/4</f>
        <v>54.6</v>
      </c>
      <c r="N167" s="2">
        <f>104.5/4</f>
        <v>26.125</v>
      </c>
      <c r="O167" s="2">
        <f>4.9/4</f>
        <v>1.2250000000000001</v>
      </c>
    </row>
    <row r="168" spans="1:19" s="29" customFormat="1" ht="25.5">
      <c r="A168" s="27">
        <v>229</v>
      </c>
      <c r="B168" s="28" t="s">
        <v>41</v>
      </c>
      <c r="C168" s="34">
        <v>100</v>
      </c>
      <c r="D168" s="4">
        <v>9.75</v>
      </c>
      <c r="E168" s="4">
        <v>4.95</v>
      </c>
      <c r="F168" s="4">
        <v>3.8</v>
      </c>
      <c r="G168" s="4">
        <v>105</v>
      </c>
      <c r="H168" s="4">
        <v>0.05</v>
      </c>
      <c r="I168" s="4">
        <v>3.73</v>
      </c>
      <c r="J168" s="4">
        <v>5.82</v>
      </c>
      <c r="K168" s="4">
        <v>2.52</v>
      </c>
      <c r="L168" s="4">
        <v>39.07</v>
      </c>
      <c r="M168" s="4">
        <v>162.19</v>
      </c>
      <c r="N168" s="4">
        <v>48.53</v>
      </c>
      <c r="O168" s="4">
        <v>0.85</v>
      </c>
    </row>
    <row r="169" spans="1:19" s="1" customFormat="1" ht="15">
      <c r="A169" s="39">
        <v>312</v>
      </c>
      <c r="B169" s="28" t="s">
        <v>13</v>
      </c>
      <c r="C169" s="40">
        <v>150</v>
      </c>
      <c r="D169" s="2">
        <f>20.473/100*15</f>
        <v>3.0709499999999998</v>
      </c>
      <c r="E169" s="2">
        <f>32.01/100/15</f>
        <v>2.1340000000000001E-2</v>
      </c>
      <c r="F169" s="2">
        <f>136.26/100*15</f>
        <v>20.438999999999997</v>
      </c>
      <c r="G169" s="2">
        <f>915/100*15</f>
        <v>137.25</v>
      </c>
      <c r="H169" s="2">
        <f>0.93/100*15</f>
        <v>0.13950000000000001</v>
      </c>
      <c r="I169" s="2">
        <f>121.07/100*15</f>
        <v>18.160499999999999</v>
      </c>
      <c r="J169" s="2"/>
      <c r="K169" s="2">
        <f>1.21/100*15</f>
        <v>0.18149999999999999</v>
      </c>
      <c r="L169" s="2">
        <f>246.5/100*15</f>
        <v>36.974999999999994</v>
      </c>
      <c r="M169" s="2">
        <f>577.3/100*15</f>
        <v>86.594999999999999</v>
      </c>
      <c r="N169" s="2">
        <f>185/100*15</f>
        <v>27.75</v>
      </c>
      <c r="O169" s="2">
        <f>6.73/100*15</f>
        <v>1.0095000000000001</v>
      </c>
    </row>
    <row r="170" spans="1:19" s="29" customFormat="1" ht="15">
      <c r="A170" s="27">
        <v>389</v>
      </c>
      <c r="B170" s="28" t="s">
        <v>55</v>
      </c>
      <c r="C170" s="16">
        <v>200</v>
      </c>
      <c r="D170" s="17">
        <f>1</f>
        <v>1</v>
      </c>
      <c r="E170" s="16">
        <v>0</v>
      </c>
      <c r="F170" s="17">
        <f>101/5</f>
        <v>20.2</v>
      </c>
      <c r="G170" s="16">
        <f>424/5</f>
        <v>84.8</v>
      </c>
      <c r="H170" s="17">
        <f>0.11/5</f>
        <v>2.1999999999999999E-2</v>
      </c>
      <c r="I170" s="16">
        <f>30/5</f>
        <v>6</v>
      </c>
      <c r="J170" s="17">
        <v>0</v>
      </c>
      <c r="K170" s="16">
        <f>1/5</f>
        <v>0.2</v>
      </c>
      <c r="L170" s="17">
        <f>70/5</f>
        <v>14</v>
      </c>
      <c r="M170" s="16">
        <f>70/5</f>
        <v>14</v>
      </c>
      <c r="N170" s="17">
        <f>40/5</f>
        <v>8</v>
      </c>
      <c r="O170" s="18">
        <f>14/5</f>
        <v>2.8</v>
      </c>
    </row>
    <row r="171" spans="1:19" s="8" customFormat="1">
      <c r="A171" s="13"/>
      <c r="B171" s="28" t="s">
        <v>14</v>
      </c>
      <c r="C171" s="27">
        <v>40</v>
      </c>
      <c r="D171" s="4">
        <v>2.2400000000000002</v>
      </c>
      <c r="E171" s="4">
        <v>0.88</v>
      </c>
      <c r="F171" s="4">
        <v>19.760000000000002</v>
      </c>
      <c r="G171" s="4">
        <v>91.96</v>
      </c>
      <c r="H171" s="4">
        <v>0.04</v>
      </c>
      <c r="I171" s="4"/>
      <c r="J171" s="4"/>
      <c r="K171" s="4">
        <v>0.36</v>
      </c>
      <c r="L171" s="4">
        <v>9.1999999999999993</v>
      </c>
      <c r="M171" s="4">
        <v>42.4</v>
      </c>
      <c r="N171" s="4">
        <v>10</v>
      </c>
      <c r="O171" s="4">
        <v>1.24</v>
      </c>
    </row>
    <row r="172" spans="1:19" s="29" customFormat="1" ht="15">
      <c r="A172" s="13"/>
      <c r="B172" s="28" t="s">
        <v>44</v>
      </c>
      <c r="C172" s="27">
        <v>40</v>
      </c>
      <c r="D172" s="4">
        <v>3.16</v>
      </c>
      <c r="E172" s="4">
        <v>0.4</v>
      </c>
      <c r="F172" s="4">
        <v>19.32</v>
      </c>
      <c r="G172" s="4">
        <v>93.52</v>
      </c>
      <c r="H172" s="4">
        <v>0.04</v>
      </c>
      <c r="I172" s="4"/>
      <c r="J172" s="4"/>
      <c r="K172" s="4">
        <v>0.52</v>
      </c>
      <c r="L172" s="4">
        <v>9.1999999999999993</v>
      </c>
      <c r="M172" s="4">
        <v>34.799999999999997</v>
      </c>
      <c r="N172" s="4">
        <v>13.2</v>
      </c>
      <c r="O172" s="4">
        <v>0.44</v>
      </c>
    </row>
    <row r="173" spans="1:19" s="29" customFormat="1" ht="15">
      <c r="A173" s="41" t="s">
        <v>11</v>
      </c>
      <c r="B173" s="42"/>
      <c r="C173" s="43"/>
      <c r="D173" s="44">
        <f>SUM(D166:D172)</f>
        <v>23.223450000000003</v>
      </c>
      <c r="E173" s="44">
        <f t="shared" ref="E173:F173" si="11">SUM(E166:E172)</f>
        <v>21.411339999999996</v>
      </c>
      <c r="F173" s="44">
        <f t="shared" si="11"/>
        <v>101.7415</v>
      </c>
      <c r="G173" s="44">
        <f>SUM(G166:G172)</f>
        <v>776.38</v>
      </c>
      <c r="H173" s="45"/>
      <c r="I173" s="45"/>
      <c r="J173" s="45"/>
      <c r="K173" s="45"/>
      <c r="L173" s="45"/>
      <c r="M173" s="45"/>
      <c r="N173" s="45"/>
      <c r="O173" s="45"/>
    </row>
    <row r="174" spans="1:19" s="29" customFormat="1" ht="15.75">
      <c r="A174" s="46" t="s">
        <v>26</v>
      </c>
      <c r="B174" s="47" t="s">
        <v>34</v>
      </c>
    </row>
    <row r="175" spans="1:19" s="29" customFormat="1" ht="15.75">
      <c r="A175" s="46" t="s">
        <v>28</v>
      </c>
      <c r="B175" s="47" t="s">
        <v>67</v>
      </c>
    </row>
    <row r="176" spans="1:19" s="29" customFormat="1" ht="15.75">
      <c r="A176" s="46" t="s">
        <v>30</v>
      </c>
      <c r="B176" s="6" t="s">
        <v>61</v>
      </c>
    </row>
    <row r="177" spans="1:27" s="29" customFormat="1" ht="31.5">
      <c r="A177" s="46" t="s">
        <v>31</v>
      </c>
      <c r="B177" s="47" t="s">
        <v>32</v>
      </c>
    </row>
    <row r="178" spans="1:27" s="29" customFormat="1" ht="15.75">
      <c r="A178" s="91" t="s">
        <v>21</v>
      </c>
      <c r="B178" s="91" t="s">
        <v>18</v>
      </c>
      <c r="C178" s="91" t="s">
        <v>20</v>
      </c>
      <c r="D178" s="95" t="s">
        <v>24</v>
      </c>
      <c r="E178" s="96"/>
      <c r="F178" s="97"/>
      <c r="G178" s="91" t="s">
        <v>0</v>
      </c>
      <c r="H178" s="95" t="s">
        <v>23</v>
      </c>
      <c r="I178" s="96"/>
      <c r="J178" s="96"/>
      <c r="K178" s="97"/>
      <c r="L178" s="95" t="s">
        <v>22</v>
      </c>
      <c r="M178" s="96"/>
      <c r="N178" s="96"/>
      <c r="O178" s="97"/>
    </row>
    <row r="179" spans="1:27" s="29" customFormat="1" ht="15.75">
      <c r="A179" s="92"/>
      <c r="B179" s="93"/>
      <c r="C179" s="94"/>
      <c r="D179" s="48" t="s">
        <v>1</v>
      </c>
      <c r="E179" s="48" t="s">
        <v>2</v>
      </c>
      <c r="F179" s="48" t="s">
        <v>3</v>
      </c>
      <c r="G179" s="92"/>
      <c r="H179" s="48" t="s">
        <v>54</v>
      </c>
      <c r="I179" s="48" t="s">
        <v>4</v>
      </c>
      <c r="J179" s="48" t="s">
        <v>5</v>
      </c>
      <c r="K179" s="48" t="s">
        <v>6</v>
      </c>
      <c r="L179" s="48" t="s">
        <v>7</v>
      </c>
      <c r="M179" s="48" t="s">
        <v>8</v>
      </c>
      <c r="N179" s="48" t="s">
        <v>9</v>
      </c>
      <c r="O179" s="48" t="s">
        <v>10</v>
      </c>
    </row>
    <row r="180" spans="1:27" s="29" customFormat="1" ht="18.75">
      <c r="A180" s="99" t="s">
        <v>19</v>
      </c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1"/>
    </row>
    <row r="181" spans="1:27" s="29" customFormat="1" ht="25.5">
      <c r="A181" s="27">
        <v>45</v>
      </c>
      <c r="B181" s="28" t="s">
        <v>40</v>
      </c>
      <c r="C181" s="27">
        <v>100</v>
      </c>
      <c r="D181" s="4">
        <f>13.12/10</f>
        <v>1.3119999999999998</v>
      </c>
      <c r="E181" s="4">
        <f>32.49/10</f>
        <v>3.2490000000000001</v>
      </c>
      <c r="F181" s="4">
        <f>6.5</f>
        <v>6.5</v>
      </c>
      <c r="G181" s="4">
        <v>60.4</v>
      </c>
      <c r="H181" s="4">
        <v>0.02</v>
      </c>
      <c r="I181" s="4">
        <v>17.010000000000002</v>
      </c>
      <c r="J181" s="4"/>
      <c r="K181" s="4">
        <v>8.39</v>
      </c>
      <c r="L181" s="4">
        <v>24.97</v>
      </c>
      <c r="M181" s="4">
        <v>28.3</v>
      </c>
      <c r="N181" s="4">
        <v>15.09</v>
      </c>
      <c r="O181" s="4">
        <v>0.47</v>
      </c>
    </row>
    <row r="182" spans="1:27" s="9" customFormat="1" ht="25.5" customHeight="1">
      <c r="A182" s="27">
        <v>112</v>
      </c>
      <c r="B182" s="28" t="s">
        <v>51</v>
      </c>
      <c r="C182" s="27">
        <v>250</v>
      </c>
      <c r="D182" s="4">
        <f>10.27/4+0.8</f>
        <v>3.3674999999999997</v>
      </c>
      <c r="E182" s="4">
        <f>11.12/4+0.2</f>
        <v>2.98</v>
      </c>
      <c r="F182" s="4">
        <f>62.75/4</f>
        <v>15.6875</v>
      </c>
      <c r="G182" s="4">
        <f>436/4+5+30</f>
        <v>144</v>
      </c>
      <c r="H182" s="4">
        <f>0.37/4</f>
        <v>9.2499999999999999E-2</v>
      </c>
      <c r="I182" s="4">
        <f>24.3/4</f>
        <v>6.0750000000000002</v>
      </c>
      <c r="J182" s="4"/>
      <c r="K182" s="4">
        <f>5.8/4</f>
        <v>1.45</v>
      </c>
      <c r="L182" s="4">
        <f>118/4+2</f>
        <v>31.5</v>
      </c>
      <c r="M182" s="4">
        <f>230.9/4</f>
        <v>57.725000000000001</v>
      </c>
      <c r="N182" s="4">
        <f>95.2/4</f>
        <v>23.8</v>
      </c>
      <c r="O182" s="4">
        <f>4/4</f>
        <v>1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s="29" customFormat="1" ht="25.5">
      <c r="A183" s="27">
        <v>295</v>
      </c>
      <c r="B183" s="28" t="s">
        <v>49</v>
      </c>
      <c r="C183" s="27">
        <v>105</v>
      </c>
      <c r="D183" s="4">
        <f>7.65*2</f>
        <v>15.3</v>
      </c>
      <c r="E183" s="4">
        <f>14.7*2</f>
        <v>29.4</v>
      </c>
      <c r="F183" s="4">
        <f>7.73*2</f>
        <v>15.46</v>
      </c>
      <c r="G183" s="4">
        <f>194*2</f>
        <v>388</v>
      </c>
      <c r="H183" s="4">
        <f>0.05*2</f>
        <v>0.1</v>
      </c>
      <c r="I183" s="4">
        <f>0.52*2</f>
        <v>1.04</v>
      </c>
      <c r="J183" s="4">
        <f>45.7*2</f>
        <v>91.4</v>
      </c>
      <c r="K183" s="4">
        <f>1.45*2</f>
        <v>2.9</v>
      </c>
      <c r="L183" s="4">
        <f>27.77*2</f>
        <v>55.54</v>
      </c>
      <c r="M183" s="4">
        <f>48.77*2</f>
        <v>97.54</v>
      </c>
      <c r="N183" s="4">
        <f>10.4*2</f>
        <v>20.8</v>
      </c>
      <c r="O183" s="4">
        <f>0.71*2</f>
        <v>1.42</v>
      </c>
    </row>
    <row r="184" spans="1:27" s="29" customFormat="1" ht="15">
      <c r="A184" s="27">
        <v>139</v>
      </c>
      <c r="B184" s="28" t="s">
        <v>56</v>
      </c>
      <c r="C184" s="27">
        <v>150</v>
      </c>
      <c r="D184" s="4">
        <v>2.04</v>
      </c>
      <c r="E184" s="4">
        <v>3.68</v>
      </c>
      <c r="F184" s="4">
        <v>7.89</v>
      </c>
      <c r="G184" s="4">
        <v>77</v>
      </c>
      <c r="H184" s="4">
        <v>0.04</v>
      </c>
      <c r="I184" s="4">
        <v>17.079999999999998</v>
      </c>
      <c r="J184" s="4">
        <v>0</v>
      </c>
      <c r="K184" s="4">
        <v>1.95</v>
      </c>
      <c r="L184" s="4">
        <v>58.75</v>
      </c>
      <c r="M184" s="4">
        <v>40.69</v>
      </c>
      <c r="N184" s="4">
        <v>20.85</v>
      </c>
      <c r="O184" s="4">
        <v>0.83</v>
      </c>
    </row>
    <row r="185" spans="1:27" s="29" customFormat="1" ht="15">
      <c r="A185" s="27">
        <v>389</v>
      </c>
      <c r="B185" s="28" t="s">
        <v>59</v>
      </c>
      <c r="C185" s="16">
        <v>200</v>
      </c>
      <c r="D185" s="17">
        <f>1</f>
        <v>1</v>
      </c>
      <c r="E185" s="16">
        <v>0</v>
      </c>
      <c r="F185" s="17">
        <f>101/5</f>
        <v>20.2</v>
      </c>
      <c r="G185" s="16">
        <f>424/5</f>
        <v>84.8</v>
      </c>
      <c r="H185" s="17">
        <f>0.11/5</f>
        <v>2.1999999999999999E-2</v>
      </c>
      <c r="I185" s="16">
        <f>30/5</f>
        <v>6</v>
      </c>
      <c r="J185" s="17">
        <v>0</v>
      </c>
      <c r="K185" s="16">
        <f>1/5</f>
        <v>0.2</v>
      </c>
      <c r="L185" s="17">
        <f>70/5</f>
        <v>14</v>
      </c>
      <c r="M185" s="16">
        <f>70/5</f>
        <v>14</v>
      </c>
      <c r="N185" s="17">
        <f>40/5</f>
        <v>8</v>
      </c>
      <c r="O185" s="18">
        <f>14/5</f>
        <v>2.8</v>
      </c>
    </row>
    <row r="186" spans="1:27" s="29" customFormat="1" ht="15">
      <c r="A186" s="13"/>
      <c r="B186" s="28" t="s">
        <v>14</v>
      </c>
      <c r="C186" s="27">
        <v>40</v>
      </c>
      <c r="D186" s="4">
        <v>2.2400000000000002</v>
      </c>
      <c r="E186" s="4">
        <v>0.88</v>
      </c>
      <c r="F186" s="4">
        <v>19.760000000000002</v>
      </c>
      <c r="G186" s="4">
        <v>91.96</v>
      </c>
      <c r="H186" s="4">
        <v>0.04</v>
      </c>
      <c r="I186" s="4"/>
      <c r="J186" s="4"/>
      <c r="K186" s="4">
        <v>0.36</v>
      </c>
      <c r="L186" s="4">
        <v>9.1999999999999993</v>
      </c>
      <c r="M186" s="4">
        <v>42.4</v>
      </c>
      <c r="N186" s="4">
        <v>10</v>
      </c>
      <c r="O186" s="4">
        <v>1.24</v>
      </c>
    </row>
    <row r="187" spans="1:27" s="29" customFormat="1" ht="15">
      <c r="A187" s="13"/>
      <c r="B187" s="28" t="s">
        <v>44</v>
      </c>
      <c r="C187" s="27">
        <v>40</v>
      </c>
      <c r="D187" s="4">
        <v>3.16</v>
      </c>
      <c r="E187" s="4">
        <v>0.4</v>
      </c>
      <c r="F187" s="4">
        <v>19.32</v>
      </c>
      <c r="G187" s="4">
        <v>93.52</v>
      </c>
      <c r="H187" s="4">
        <v>0.04</v>
      </c>
      <c r="I187" s="4"/>
      <c r="J187" s="4"/>
      <c r="K187" s="4">
        <v>0.52</v>
      </c>
      <c r="L187" s="4">
        <v>9.1999999999999993</v>
      </c>
      <c r="M187" s="4">
        <v>34.799999999999997</v>
      </c>
      <c r="N187" s="4">
        <v>13.2</v>
      </c>
      <c r="O187" s="4">
        <v>0.44</v>
      </c>
    </row>
    <row r="188" spans="1:27" s="51" customFormat="1" ht="15">
      <c r="A188" s="19" t="s">
        <v>11</v>
      </c>
      <c r="B188" s="19"/>
      <c r="C188" s="19"/>
      <c r="D188" s="50">
        <f>SUM(D181:D187)</f>
        <v>28.419500000000003</v>
      </c>
      <c r="E188" s="50">
        <f t="shared" ref="E188:F188" si="12">SUM(E181:E187)</f>
        <v>40.588999999999999</v>
      </c>
      <c r="F188" s="50">
        <f t="shared" si="12"/>
        <v>104.8175</v>
      </c>
      <c r="G188" s="50">
        <f>SUM(G181:G187)</f>
        <v>939.68</v>
      </c>
      <c r="H188" s="21"/>
      <c r="I188" s="21"/>
      <c r="J188" s="21"/>
      <c r="K188" s="21"/>
      <c r="L188" s="21"/>
      <c r="M188" s="21"/>
      <c r="N188" s="21"/>
      <c r="O188" s="21"/>
    </row>
    <row r="189" spans="1:27" s="1" customFormat="1" ht="15.75">
      <c r="A189" s="31" t="s">
        <v>26</v>
      </c>
      <c r="B189" s="24" t="s">
        <v>35</v>
      </c>
    </row>
    <row r="190" spans="1:27" s="1" customFormat="1" ht="15.75">
      <c r="A190" s="31" t="s">
        <v>28</v>
      </c>
      <c r="B190" s="24" t="s">
        <v>67</v>
      </c>
    </row>
    <row r="191" spans="1:27" s="1" customFormat="1" ht="15.75">
      <c r="A191" s="31" t="s">
        <v>30</v>
      </c>
      <c r="B191" s="6" t="s">
        <v>61</v>
      </c>
    </row>
    <row r="192" spans="1:27" s="1" customFormat="1" ht="31.5">
      <c r="A192" s="31" t="s">
        <v>31</v>
      </c>
      <c r="B192" s="24" t="s">
        <v>32</v>
      </c>
    </row>
    <row r="193" spans="1:15" s="1" customFormat="1" ht="15.75">
      <c r="A193" s="85" t="s">
        <v>21</v>
      </c>
      <c r="B193" s="85" t="s">
        <v>18</v>
      </c>
      <c r="C193" s="85" t="s">
        <v>20</v>
      </c>
      <c r="D193" s="82" t="s">
        <v>24</v>
      </c>
      <c r="E193" s="83"/>
      <c r="F193" s="84"/>
      <c r="G193" s="85" t="s">
        <v>0</v>
      </c>
      <c r="H193" s="82" t="s">
        <v>23</v>
      </c>
      <c r="I193" s="83"/>
      <c r="J193" s="83"/>
      <c r="K193" s="84"/>
      <c r="L193" s="82" t="s">
        <v>22</v>
      </c>
      <c r="M193" s="83"/>
      <c r="N193" s="83"/>
      <c r="O193" s="84"/>
    </row>
    <row r="194" spans="1:15" s="1" customFormat="1" ht="15.75">
      <c r="A194" s="86"/>
      <c r="B194" s="87"/>
      <c r="C194" s="102"/>
      <c r="D194" s="33" t="s">
        <v>1</v>
      </c>
      <c r="E194" s="33" t="s">
        <v>2</v>
      </c>
      <c r="F194" s="33" t="s">
        <v>3</v>
      </c>
      <c r="G194" s="86"/>
      <c r="H194" s="33" t="s">
        <v>54</v>
      </c>
      <c r="I194" s="33" t="s">
        <v>4</v>
      </c>
      <c r="J194" s="33" t="s">
        <v>5</v>
      </c>
      <c r="K194" s="33" t="s">
        <v>6</v>
      </c>
      <c r="L194" s="33" t="s">
        <v>7</v>
      </c>
      <c r="M194" s="33" t="s">
        <v>8</v>
      </c>
      <c r="N194" s="33" t="s">
        <v>9</v>
      </c>
      <c r="O194" s="33" t="s">
        <v>10</v>
      </c>
    </row>
    <row r="195" spans="1:15" s="29" customFormat="1" ht="18.75">
      <c r="A195" s="100" t="s">
        <v>19</v>
      </c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s="29" customFormat="1" ht="25.5">
      <c r="A196" s="27">
        <v>54</v>
      </c>
      <c r="B196" s="28" t="s">
        <v>42</v>
      </c>
      <c r="C196" s="27">
        <v>100</v>
      </c>
      <c r="D196" s="4">
        <f>1.9</f>
        <v>1.9</v>
      </c>
      <c r="E196" s="4">
        <v>6.08</v>
      </c>
      <c r="F196" s="4">
        <v>11.2</v>
      </c>
      <c r="G196" s="4">
        <v>103.9</v>
      </c>
      <c r="H196" s="4">
        <v>0.02</v>
      </c>
      <c r="I196" s="4">
        <v>6.44</v>
      </c>
      <c r="J196" s="4"/>
      <c r="K196" s="4">
        <v>10.6</v>
      </c>
      <c r="L196" s="4">
        <v>29.27</v>
      </c>
      <c r="M196" s="4">
        <v>31.8</v>
      </c>
      <c r="N196" s="4">
        <v>16.829999999999998</v>
      </c>
      <c r="O196" s="4">
        <v>1.48</v>
      </c>
    </row>
    <row r="197" spans="1:15" s="29" customFormat="1" ht="38.25">
      <c r="A197" s="27">
        <v>88</v>
      </c>
      <c r="B197" s="28" t="s">
        <v>48</v>
      </c>
      <c r="C197" s="27">
        <v>250</v>
      </c>
      <c r="D197" s="4">
        <f>(7.06/4)+0.8</f>
        <v>2.5649999999999999</v>
      </c>
      <c r="E197" s="4">
        <f>(19.8/4)+0.2</f>
        <v>5.15</v>
      </c>
      <c r="F197" s="4">
        <f>31.61/4</f>
        <v>7.9024999999999999</v>
      </c>
      <c r="G197" s="4">
        <f>(359/4)+5+30</f>
        <v>124.75</v>
      </c>
      <c r="H197" s="4">
        <f>0.23/4</f>
        <v>5.7500000000000002E-2</v>
      </c>
      <c r="I197" s="4">
        <f>63.1/4</f>
        <v>15.775</v>
      </c>
      <c r="J197" s="4"/>
      <c r="K197" s="4">
        <f>9.4/4</f>
        <v>2.35</v>
      </c>
      <c r="L197" s="4">
        <f>(197/4)+2</f>
        <v>51.25</v>
      </c>
      <c r="M197" s="4">
        <f>196/4</f>
        <v>49</v>
      </c>
      <c r="N197" s="4">
        <f>88.5/4</f>
        <v>22.125</v>
      </c>
      <c r="O197" s="4">
        <f>3.3/4</f>
        <v>0.82499999999999996</v>
      </c>
    </row>
    <row r="198" spans="1:15" s="29" customFormat="1" ht="15">
      <c r="A198" s="27">
        <v>302</v>
      </c>
      <c r="B198" s="28" t="s">
        <v>17</v>
      </c>
      <c r="C198" s="27">
        <v>150</v>
      </c>
      <c r="D198" s="4">
        <f>57.32/100*15</f>
        <v>8.5980000000000008</v>
      </c>
      <c r="E198" s="4">
        <f>40.62/100*15</f>
        <v>6.0929999999999991</v>
      </c>
      <c r="F198" s="4">
        <f>257.61/100*15</f>
        <v>38.641500000000008</v>
      </c>
      <c r="G198" s="4">
        <f>1625/100*15</f>
        <v>243.75</v>
      </c>
      <c r="H198" s="4">
        <f>1.39/100*15</f>
        <v>0.20849999999999999</v>
      </c>
      <c r="I198" s="4"/>
      <c r="J198" s="4"/>
      <c r="K198" s="4">
        <f>4.05/100*15</f>
        <v>0.60750000000000004</v>
      </c>
      <c r="L198" s="4">
        <f>98.8/100*15</f>
        <v>14.82</v>
      </c>
      <c r="M198" s="4">
        <f>1359.5/100*15</f>
        <v>203.92500000000001</v>
      </c>
      <c r="N198" s="4">
        <f>905.5/100*15</f>
        <v>135.82499999999999</v>
      </c>
      <c r="O198" s="4">
        <f>30.4/100*15</f>
        <v>4.5599999999999996</v>
      </c>
    </row>
    <row r="199" spans="1:15" s="29" customFormat="1" ht="15">
      <c r="A199" s="27">
        <v>278</v>
      </c>
      <c r="B199" s="28" t="s">
        <v>16</v>
      </c>
      <c r="C199" s="27">
        <v>110</v>
      </c>
      <c r="D199" s="4">
        <v>7.83</v>
      </c>
      <c r="E199" s="4">
        <v>8.75</v>
      </c>
      <c r="F199" s="4">
        <v>10.25</v>
      </c>
      <c r="G199" s="4">
        <v>151</v>
      </c>
      <c r="H199" s="4">
        <v>0.05</v>
      </c>
      <c r="I199" s="4">
        <v>0.72</v>
      </c>
      <c r="J199" s="4">
        <v>33.92</v>
      </c>
      <c r="K199" s="4">
        <v>0.55000000000000004</v>
      </c>
      <c r="L199" s="4">
        <v>27.95</v>
      </c>
      <c r="M199" s="4">
        <v>88.37</v>
      </c>
      <c r="N199" s="4">
        <v>18.329999999999998</v>
      </c>
      <c r="O199" s="4">
        <v>0.87</v>
      </c>
    </row>
    <row r="200" spans="1:15" s="29" customFormat="1" ht="15">
      <c r="A200" s="27">
        <v>389</v>
      </c>
      <c r="B200" s="28" t="s">
        <v>60</v>
      </c>
      <c r="C200" s="16">
        <v>200</v>
      </c>
      <c r="D200" s="17">
        <f>1</f>
        <v>1</v>
      </c>
      <c r="E200" s="16">
        <v>0</v>
      </c>
      <c r="F200" s="17">
        <f>101/5</f>
        <v>20.2</v>
      </c>
      <c r="G200" s="16">
        <f>424/5</f>
        <v>84.8</v>
      </c>
      <c r="H200" s="17">
        <f>0.11/5</f>
        <v>2.1999999999999999E-2</v>
      </c>
      <c r="I200" s="16">
        <f>30/5</f>
        <v>6</v>
      </c>
      <c r="J200" s="17">
        <v>0</v>
      </c>
      <c r="K200" s="16">
        <f>1/5</f>
        <v>0.2</v>
      </c>
      <c r="L200" s="17">
        <f>70/5</f>
        <v>14</v>
      </c>
      <c r="M200" s="16">
        <f>70/5</f>
        <v>14</v>
      </c>
      <c r="N200" s="17">
        <f>40/5</f>
        <v>8</v>
      </c>
      <c r="O200" s="18">
        <f>14/5</f>
        <v>2.8</v>
      </c>
    </row>
    <row r="201" spans="1:15" s="29" customFormat="1" ht="15">
      <c r="A201" s="13"/>
      <c r="B201" s="28" t="s">
        <v>14</v>
      </c>
      <c r="C201" s="27">
        <v>40</v>
      </c>
      <c r="D201" s="4">
        <v>2.2400000000000002</v>
      </c>
      <c r="E201" s="4">
        <v>0.88</v>
      </c>
      <c r="F201" s="4">
        <v>19.760000000000002</v>
      </c>
      <c r="G201" s="4">
        <v>91.96</v>
      </c>
      <c r="H201" s="4">
        <v>0.04</v>
      </c>
      <c r="I201" s="4"/>
      <c r="J201" s="4"/>
      <c r="K201" s="4">
        <v>0.36</v>
      </c>
      <c r="L201" s="4">
        <v>9.1999999999999993</v>
      </c>
      <c r="M201" s="4">
        <v>42.4</v>
      </c>
      <c r="N201" s="4">
        <v>10</v>
      </c>
      <c r="O201" s="4">
        <v>1.24</v>
      </c>
    </row>
    <row r="202" spans="1:15" s="29" customFormat="1" ht="15">
      <c r="A202" s="13"/>
      <c r="B202" s="28" t="s">
        <v>44</v>
      </c>
      <c r="C202" s="27">
        <v>40</v>
      </c>
      <c r="D202" s="4">
        <v>3.16</v>
      </c>
      <c r="E202" s="4">
        <v>0.4</v>
      </c>
      <c r="F202" s="4">
        <v>19.32</v>
      </c>
      <c r="G202" s="4">
        <v>93.52</v>
      </c>
      <c r="H202" s="4">
        <v>0.04</v>
      </c>
      <c r="I202" s="4"/>
      <c r="J202" s="4"/>
      <c r="K202" s="4">
        <v>0.52</v>
      </c>
      <c r="L202" s="4">
        <v>9.1999999999999993</v>
      </c>
      <c r="M202" s="4">
        <v>34.799999999999997</v>
      </c>
      <c r="N202" s="4">
        <v>13.2</v>
      </c>
      <c r="O202" s="4">
        <v>0.44</v>
      </c>
    </row>
    <row r="203" spans="1:15" s="1" customFormat="1" ht="15">
      <c r="A203" s="19" t="s">
        <v>11</v>
      </c>
      <c r="B203" s="19"/>
      <c r="C203" s="19"/>
      <c r="D203" s="20">
        <f>SUM(D196:D202)</f>
        <v>27.293000000000003</v>
      </c>
      <c r="E203" s="20">
        <f t="shared" ref="E203:G203" si="13">SUM(E196:E202)</f>
        <v>27.352999999999998</v>
      </c>
      <c r="F203" s="20">
        <f t="shared" si="13"/>
        <v>127.274</v>
      </c>
      <c r="G203" s="20">
        <f t="shared" si="13"/>
        <v>893.68</v>
      </c>
      <c r="H203" s="20"/>
      <c r="I203" s="20"/>
      <c r="J203" s="20"/>
      <c r="K203" s="20"/>
      <c r="L203" s="20"/>
      <c r="M203" s="20"/>
      <c r="N203" s="20"/>
      <c r="O203" s="20"/>
    </row>
    <row r="204" spans="1:15" ht="15">
      <c r="B204" s="1"/>
      <c r="C204" s="1"/>
      <c r="D204" s="1"/>
      <c r="E204" s="1"/>
      <c r="F204" s="1"/>
    </row>
    <row r="205" spans="1:15" ht="15">
      <c r="B205" s="12"/>
      <c r="C205" s="1"/>
      <c r="D205" s="1"/>
      <c r="E205" s="1"/>
      <c r="F205" s="1"/>
    </row>
  </sheetData>
  <sheetProtection formatCells="0" formatColumns="0" formatRows="0" insertColumns="0" insertRows="0" insertHyperlinks="0" deleteColumns="0" deleteRows="0" sort="0" autoFilter="0" pivotTables="0"/>
  <mergeCells count="104">
    <mergeCell ref="A195:O195"/>
    <mergeCell ref="A180:O180"/>
    <mergeCell ref="A193:A194"/>
    <mergeCell ref="B193:B194"/>
    <mergeCell ref="C193:C194"/>
    <mergeCell ref="D193:F193"/>
    <mergeCell ref="G193:G194"/>
    <mergeCell ref="H193:K193"/>
    <mergeCell ref="L193:O193"/>
    <mergeCell ref="A165:O165"/>
    <mergeCell ref="A178:A179"/>
    <mergeCell ref="B178:B179"/>
    <mergeCell ref="C178:C179"/>
    <mergeCell ref="D178:F178"/>
    <mergeCell ref="G178:G179"/>
    <mergeCell ref="H178:K178"/>
    <mergeCell ref="L178:O178"/>
    <mergeCell ref="A150:O150"/>
    <mergeCell ref="A163:A164"/>
    <mergeCell ref="B163:B164"/>
    <mergeCell ref="C163:C164"/>
    <mergeCell ref="D163:F163"/>
    <mergeCell ref="G163:G164"/>
    <mergeCell ref="H163:K163"/>
    <mergeCell ref="L163:O163"/>
    <mergeCell ref="A137:O137"/>
    <mergeCell ref="A148:A149"/>
    <mergeCell ref="B148:B149"/>
    <mergeCell ref="C148:C149"/>
    <mergeCell ref="D148:F148"/>
    <mergeCell ref="G148:G149"/>
    <mergeCell ref="H148:K148"/>
    <mergeCell ref="L148:O148"/>
    <mergeCell ref="A122:O122"/>
    <mergeCell ref="A135:A136"/>
    <mergeCell ref="B135:B136"/>
    <mergeCell ref="C135:C136"/>
    <mergeCell ref="D135:F135"/>
    <mergeCell ref="G135:G136"/>
    <mergeCell ref="H135:K135"/>
    <mergeCell ref="L135:O135"/>
    <mergeCell ref="A107:O107"/>
    <mergeCell ref="A120:A121"/>
    <mergeCell ref="B120:B121"/>
    <mergeCell ref="C120:C121"/>
    <mergeCell ref="D120:F120"/>
    <mergeCell ref="G120:G121"/>
    <mergeCell ref="H120:K120"/>
    <mergeCell ref="L120:O120"/>
    <mergeCell ref="A92:O92"/>
    <mergeCell ref="A105:A106"/>
    <mergeCell ref="B105:B106"/>
    <mergeCell ref="C105:C106"/>
    <mergeCell ref="D105:F105"/>
    <mergeCell ref="G105:G106"/>
    <mergeCell ref="H105:K105"/>
    <mergeCell ref="L105:O105"/>
    <mergeCell ref="A77:O77"/>
    <mergeCell ref="A90:A91"/>
    <mergeCell ref="B90:B91"/>
    <mergeCell ref="C90:C91"/>
    <mergeCell ref="D90:F90"/>
    <mergeCell ref="G90:G91"/>
    <mergeCell ref="H90:K90"/>
    <mergeCell ref="L90:O90"/>
    <mergeCell ref="A75:A76"/>
    <mergeCell ref="B75:B76"/>
    <mergeCell ref="C75:C76"/>
    <mergeCell ref="D75:F75"/>
    <mergeCell ref="G75:G76"/>
    <mergeCell ref="H75:K75"/>
    <mergeCell ref="L75:O75"/>
    <mergeCell ref="A47:O47"/>
    <mergeCell ref="A60:A61"/>
    <mergeCell ref="B60:B61"/>
    <mergeCell ref="C60:C61"/>
    <mergeCell ref="D60:F60"/>
    <mergeCell ref="G60:G61"/>
    <mergeCell ref="H60:K60"/>
    <mergeCell ref="L60:O60"/>
    <mergeCell ref="A32:O32"/>
    <mergeCell ref="A45:A46"/>
    <mergeCell ref="B45:B46"/>
    <mergeCell ref="C45:C46"/>
    <mergeCell ref="D45:F45"/>
    <mergeCell ref="G45:G46"/>
    <mergeCell ref="H45:K45"/>
    <mergeCell ref="L45:O45"/>
    <mergeCell ref="A19:O19"/>
    <mergeCell ref="H17:K17"/>
    <mergeCell ref="L17:O17"/>
    <mergeCell ref="A17:A18"/>
    <mergeCell ref="B17:B18"/>
    <mergeCell ref="C17:C18"/>
    <mergeCell ref="D17:F17"/>
    <mergeCell ref="G17:G18"/>
    <mergeCell ref="A7:O7"/>
    <mergeCell ref="L5:O5"/>
    <mergeCell ref="G5:G6"/>
    <mergeCell ref="D5:F5"/>
    <mergeCell ref="H5:K5"/>
    <mergeCell ref="C5:C6"/>
    <mergeCell ref="B5:B6"/>
    <mergeCell ref="A5:A6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6" manualBreakCount="6">
    <brk id="27" max="14" man="1"/>
    <brk id="55" max="14" man="1"/>
    <brk id="85" max="14" man="1"/>
    <brk id="115" max="14" man="1"/>
    <brk id="145" max="14" man="1"/>
    <brk id="17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</vt:lpstr>
      <vt:lpstr>1-14 день</vt:lpstr>
      <vt:lpstr>'1-14 день'!Область_печати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Пользователь</cp:lastModifiedBy>
  <cp:lastPrinted>2025-04-07T11:14:45Z</cp:lastPrinted>
  <dcterms:created xsi:type="dcterms:W3CDTF">2017-02-04T19:31:45Z</dcterms:created>
  <dcterms:modified xsi:type="dcterms:W3CDTF">2026-05-14T05:17:20Z</dcterms:modified>
</cp:coreProperties>
</file>